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C6FC72B-1E7E-441D-944C-8BF1C46C94A1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28" i="1"/>
  <c r="F28" i="1" s="1"/>
  <c r="G28" i="1" s="1"/>
  <c r="K28" i="1" s="1"/>
  <c r="E29" i="1"/>
  <c r="F29" i="1"/>
  <c r="G29" i="1"/>
  <c r="K29" i="1" s="1"/>
  <c r="E30" i="1"/>
  <c r="F30" i="1" s="1"/>
  <c r="G30" i="1" s="1"/>
  <c r="K30" i="1" s="1"/>
  <c r="E9" i="1"/>
  <c r="D9" i="1"/>
  <c r="E27" i="1"/>
  <c r="F27" i="1" s="1"/>
  <c r="G27" i="1" s="1"/>
  <c r="H27" i="1" s="1"/>
  <c r="E21" i="1"/>
  <c r="F21" i="1"/>
  <c r="G21" i="1" s="1"/>
  <c r="H21" i="1" s="1"/>
  <c r="E22" i="1"/>
  <c r="E12" i="2" s="1"/>
  <c r="E23" i="1"/>
  <c r="F23" i="1"/>
  <c r="G23" i="1" s="1"/>
  <c r="H23" i="1" s="1"/>
  <c r="E24" i="1"/>
  <c r="E14" i="2" s="1"/>
  <c r="E25" i="1"/>
  <c r="F25" i="1"/>
  <c r="G25" i="1" s="1"/>
  <c r="H25" i="1" s="1"/>
  <c r="E26" i="1"/>
  <c r="E16" i="2" s="1"/>
  <c r="Q28" i="1"/>
  <c r="Q29" i="1"/>
  <c r="Q30" i="1"/>
  <c r="Q21" i="1"/>
  <c r="Q22" i="1"/>
  <c r="Q23" i="1"/>
  <c r="Q24" i="1"/>
  <c r="Q25" i="1"/>
  <c r="Q26" i="1"/>
  <c r="G16" i="2"/>
  <c r="C16" i="2"/>
  <c r="G15" i="2"/>
  <c r="C15" i="2"/>
  <c r="E15" i="2"/>
  <c r="G14" i="2"/>
  <c r="C14" i="2"/>
  <c r="G13" i="2"/>
  <c r="C13" i="2"/>
  <c r="E13" i="2"/>
  <c r="G12" i="2"/>
  <c r="C12" i="2"/>
  <c r="G11" i="2"/>
  <c r="C11" i="2"/>
  <c r="E11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F16" i="1"/>
  <c r="C17" i="1"/>
  <c r="Q27" i="1"/>
  <c r="F26" i="1" l="1"/>
  <c r="G26" i="1" s="1"/>
  <c r="H26" i="1" s="1"/>
  <c r="F24" i="1"/>
  <c r="G24" i="1" s="1"/>
  <c r="H24" i="1" s="1"/>
  <c r="F22" i="1"/>
  <c r="G22" i="1" s="1"/>
  <c r="F17" i="1"/>
  <c r="C11" i="1"/>
  <c r="C12" i="1"/>
  <c r="C16" i="1" l="1"/>
  <c r="D18" i="1" s="1"/>
  <c r="O24" i="1"/>
  <c r="O23" i="1"/>
  <c r="O26" i="1"/>
  <c r="O22" i="1"/>
  <c r="O33" i="1"/>
  <c r="O25" i="1"/>
  <c r="O32" i="1"/>
  <c r="O29" i="1"/>
  <c r="O31" i="1"/>
  <c r="O30" i="1"/>
  <c r="O21" i="1"/>
  <c r="O27" i="1"/>
  <c r="O28" i="1"/>
  <c r="C15" i="1"/>
  <c r="F18" i="1" s="1"/>
  <c r="F19" i="1" s="1"/>
  <c r="H22" i="1"/>
  <c r="C18" i="1" l="1"/>
</calcChain>
</file>

<file path=xl/sharedStrings.xml><?xml version="1.0" encoding="utf-8"?>
<sst xmlns="http://schemas.openxmlformats.org/spreadsheetml/2006/main" count="131" uniqueCount="76">
  <si>
    <t>OEJV 0182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</si>
  <si>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</si>
  <si>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</si>
  <si>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</si>
  <si>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</si>
  <si>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</si>
  <si>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</si>
  <si>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</si>
  <si>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</si>
  <si>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</si>
  <si>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</si>
  <si>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</si>
  <si>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</si>
  <si>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</si>
  <si>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</si>
  <si>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</si>
  <si>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</si>
  <si>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</si>
  <si>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</si>
  <si>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</si>
  <si>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</si>
  <si>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</si>
  <si>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</si>
  <si>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</si>
  <si>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</si>
  <si>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</si>
  <si>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</si>
  <si>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</si>
  <si>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</si>
  <si>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</si>
  <si>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</si>
  <si>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</si>
  <si>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</si>
  <si>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</si>
  <si>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</si>
  <si>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</si>
  <si>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</si>
  <si>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</si>
  <si>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</si>
  <si>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</si>
  <si>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</si>
  <si>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</si>
  <si>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</si>
  <si>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</si>
  <si>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</si>
  <si>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</si>
  <si>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</si>
  <si>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</si>
  <si>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CS Pup</t>
  </si>
  <si>
    <t>EA</t>
  </si>
  <si>
    <t>GCVS 4</t>
  </si>
  <si>
    <t>2427509.25 </t>
  </si>
  <si>
    <t> 12.03.1934 18:00 </t>
  </si>
  <si>
    <t> -0.02 </t>
  </si>
  <si>
    <t>P </t>
  </si>
  <si>
    <t> A.van Hoof </t>
  </si>
  <si>
    <t> PLOU 106.6 </t>
  </si>
  <si>
    <t>2427892.23 </t>
  </si>
  <si>
    <t> 30.03.1935 17:31 </t>
  </si>
  <si>
    <t> 0.01 </t>
  </si>
  <si>
    <t>2428163.48 </t>
  </si>
  <si>
    <t> 26.12.1935 23:31 </t>
  </si>
  <si>
    <t>2428219.28 </t>
  </si>
  <si>
    <t> 20.02.1936 18:43 </t>
  </si>
  <si>
    <t> -0.04 </t>
  </si>
  <si>
    <t>2428602.26 </t>
  </si>
  <si>
    <t> 09.03.1937 18:14 </t>
  </si>
  <si>
    <t> -0.01 </t>
  </si>
  <si>
    <t>2428610.24 </t>
  </si>
  <si>
    <t> 17.03.1937 17:45 </t>
  </si>
  <si>
    <t> -0.00 </t>
  </si>
  <si>
    <t>I</t>
  </si>
  <si>
    <t>CS Pup / GSC 52501.864</t>
  </si>
  <si>
    <t>TESS/BAJ/RAA</t>
  </si>
  <si>
    <t>TESS</t>
  </si>
  <si>
    <t>VSS SEB Gp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</si>
</sst>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7" fillId="26" borderId="5" xfId="0" applyFont="1" applyFill="1" applyBorder="1" applyAlignment="1">
      <alignment horizontal="left" vertical="center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14" fontId="37" fillId="0" borderId="0" xfId="44" applyNumberFormat="1" applyFont="1" applyFill="1" applyBorder="1" applyAlignment="1">
      <alignment horizontal="center" vertical="center"/>
    </xf>
    <xf numFmtId="176" fontId="37" fillId="0" borderId="0" xfId="0" applyNumberFormat="1" applyFont="1" applyAlignment="1">
      <alignment horizontal="left" vertical="center"/>
    </xf>
    <xf numFmtId="176" fontId="37" fillId="0" borderId="0" xfId="39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CS Pup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-9398</c:v>
                </c:pt>
                <c:pt idx="1">
                  <c:v>-9254</c:v>
                </c:pt>
                <c:pt idx="2">
                  <c:v>-9152</c:v>
                </c:pt>
                <c:pt idx="3">
                  <c:v>-9131</c:v>
                </c:pt>
                <c:pt idx="4">
                  <c:v>-8987</c:v>
                </c:pt>
                <c:pt idx="5">
                  <c:v>-8984</c:v>
                </c:pt>
                <c:pt idx="6">
                  <c:v>0</c:v>
                </c:pt>
                <c:pt idx="7">
                  <c:v>1843</c:v>
                </c:pt>
                <c:pt idx="8">
                  <c:v>1858</c:v>
                </c:pt>
                <c:pt idx="9">
                  <c:v>1870</c:v>
                </c:pt>
                <c:pt idx="10">
                  <c:v>2531</c:v>
                </c:pt>
                <c:pt idx="11">
                  <c:v>2535</c:v>
                </c:pt>
                <c:pt idx="12">
                  <c:v>2538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-1.1686600002576597E-2</c:v>
                </c:pt>
                <c:pt idx="1">
                  <c:v>2.1438199997646734E-2</c:v>
                </c:pt>
                <c:pt idx="2">
                  <c:v>1.7401599994627759E-2</c:v>
                </c:pt>
                <c:pt idx="3">
                  <c:v>-2.9017700006079394E-2</c:v>
                </c:pt>
                <c:pt idx="4">
                  <c:v>4.1070999941439368E-3</c:v>
                </c:pt>
                <c:pt idx="5">
                  <c:v>6.0471999968285672E-3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A0-4B1F-A55B-78F9FC44182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-9398</c:v>
                </c:pt>
                <c:pt idx="1">
                  <c:v>-9254</c:v>
                </c:pt>
                <c:pt idx="2">
                  <c:v>-9152</c:v>
                </c:pt>
                <c:pt idx="3">
                  <c:v>-9131</c:v>
                </c:pt>
                <c:pt idx="4">
                  <c:v>-8987</c:v>
                </c:pt>
                <c:pt idx="5">
                  <c:v>-8984</c:v>
                </c:pt>
                <c:pt idx="6">
                  <c:v>0</c:v>
                </c:pt>
                <c:pt idx="7">
                  <c:v>1843</c:v>
                </c:pt>
                <c:pt idx="8">
                  <c:v>1858</c:v>
                </c:pt>
                <c:pt idx="9">
                  <c:v>1870</c:v>
                </c:pt>
                <c:pt idx="10">
                  <c:v>2531</c:v>
                </c:pt>
                <c:pt idx="11">
                  <c:v>2535</c:v>
                </c:pt>
                <c:pt idx="12">
                  <c:v>2538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A0-4B1F-A55B-78F9FC44182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-9398</c:v>
                </c:pt>
                <c:pt idx="1">
                  <c:v>-9254</c:v>
                </c:pt>
                <c:pt idx="2">
                  <c:v>-9152</c:v>
                </c:pt>
                <c:pt idx="3">
                  <c:v>-9131</c:v>
                </c:pt>
                <c:pt idx="4">
                  <c:v>-8987</c:v>
                </c:pt>
                <c:pt idx="5">
                  <c:v>-8984</c:v>
                </c:pt>
                <c:pt idx="6">
                  <c:v>0</c:v>
                </c:pt>
                <c:pt idx="7">
                  <c:v>1843</c:v>
                </c:pt>
                <c:pt idx="8">
                  <c:v>1858</c:v>
                </c:pt>
                <c:pt idx="9">
                  <c:v>1870</c:v>
                </c:pt>
                <c:pt idx="10">
                  <c:v>2531</c:v>
                </c:pt>
                <c:pt idx="11">
                  <c:v>2535</c:v>
                </c:pt>
                <c:pt idx="12">
                  <c:v>2538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A0-4B1F-A55B-78F9FC44182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-9398</c:v>
                </c:pt>
                <c:pt idx="1">
                  <c:v>-9254</c:v>
                </c:pt>
                <c:pt idx="2">
                  <c:v>-9152</c:v>
                </c:pt>
                <c:pt idx="3">
                  <c:v>-9131</c:v>
                </c:pt>
                <c:pt idx="4">
                  <c:v>-8987</c:v>
                </c:pt>
                <c:pt idx="5">
                  <c:v>-8984</c:v>
                </c:pt>
                <c:pt idx="6">
                  <c:v>0</c:v>
                </c:pt>
                <c:pt idx="7">
                  <c:v>1843</c:v>
                </c:pt>
                <c:pt idx="8">
                  <c:v>1858</c:v>
                </c:pt>
                <c:pt idx="9">
                  <c:v>1870</c:v>
                </c:pt>
                <c:pt idx="10">
                  <c:v>2531</c:v>
                </c:pt>
                <c:pt idx="11">
                  <c:v>2535</c:v>
                </c:pt>
                <c:pt idx="12">
                  <c:v>2538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7">
                  <c:v>1.2068099997122772E-2</c:v>
                </c:pt>
                <c:pt idx="8">
                  <c:v>1.6668600001139566E-2</c:v>
                </c:pt>
                <c:pt idx="9">
                  <c:v>1.3329000001249369E-2</c:v>
                </c:pt>
                <c:pt idx="10">
                  <c:v>-8.551300095859915E-3</c:v>
                </c:pt>
                <c:pt idx="11">
                  <c:v>-8.4684999383171089E-3</c:v>
                </c:pt>
                <c:pt idx="12">
                  <c:v>-8.6773997900309041E-3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A0-4B1F-A55B-78F9FC44182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-9398</c:v>
                </c:pt>
                <c:pt idx="1">
                  <c:v>-9254</c:v>
                </c:pt>
                <c:pt idx="2">
                  <c:v>-9152</c:v>
                </c:pt>
                <c:pt idx="3">
                  <c:v>-9131</c:v>
                </c:pt>
                <c:pt idx="4">
                  <c:v>-8987</c:v>
                </c:pt>
                <c:pt idx="5">
                  <c:v>-8984</c:v>
                </c:pt>
                <c:pt idx="6">
                  <c:v>0</c:v>
                </c:pt>
                <c:pt idx="7">
                  <c:v>1843</c:v>
                </c:pt>
                <c:pt idx="8">
                  <c:v>1858</c:v>
                </c:pt>
                <c:pt idx="9">
                  <c:v>1870</c:v>
                </c:pt>
                <c:pt idx="10">
                  <c:v>2531</c:v>
                </c:pt>
                <c:pt idx="11">
                  <c:v>2535</c:v>
                </c:pt>
                <c:pt idx="12">
                  <c:v>2538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A0-4B1F-A55B-78F9FC44182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-9398</c:v>
                </c:pt>
                <c:pt idx="1">
                  <c:v>-9254</c:v>
                </c:pt>
                <c:pt idx="2">
                  <c:v>-9152</c:v>
                </c:pt>
                <c:pt idx="3">
                  <c:v>-9131</c:v>
                </c:pt>
                <c:pt idx="4">
                  <c:v>-8987</c:v>
                </c:pt>
                <c:pt idx="5">
                  <c:v>-8984</c:v>
                </c:pt>
                <c:pt idx="6">
                  <c:v>0</c:v>
                </c:pt>
                <c:pt idx="7">
                  <c:v>1843</c:v>
                </c:pt>
                <c:pt idx="8">
                  <c:v>1858</c:v>
                </c:pt>
                <c:pt idx="9">
                  <c:v>1870</c:v>
                </c:pt>
                <c:pt idx="10">
                  <c:v>2531</c:v>
                </c:pt>
                <c:pt idx="11">
                  <c:v>2535</c:v>
                </c:pt>
                <c:pt idx="12">
                  <c:v>2538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A0-4B1F-A55B-78F9FC44182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6">
                    <c:v>0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1.9680000000000001E-3</c:v>
                  </c:pt>
                  <c:pt idx="11">
                    <c:v>2.3479999999999998E-3</c:v>
                  </c:pt>
                  <c:pt idx="12">
                    <c:v>2.1740000000000002E-3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-9398</c:v>
                </c:pt>
                <c:pt idx="1">
                  <c:v>-9254</c:v>
                </c:pt>
                <c:pt idx="2">
                  <c:v>-9152</c:v>
                </c:pt>
                <c:pt idx="3">
                  <c:v>-9131</c:v>
                </c:pt>
                <c:pt idx="4">
                  <c:v>-8987</c:v>
                </c:pt>
                <c:pt idx="5">
                  <c:v>-8984</c:v>
                </c:pt>
                <c:pt idx="6">
                  <c:v>0</c:v>
                </c:pt>
                <c:pt idx="7">
                  <c:v>1843</c:v>
                </c:pt>
                <c:pt idx="8">
                  <c:v>1858</c:v>
                </c:pt>
                <c:pt idx="9">
                  <c:v>1870</c:v>
                </c:pt>
                <c:pt idx="10">
                  <c:v>2531</c:v>
                </c:pt>
                <c:pt idx="11">
                  <c:v>2535</c:v>
                </c:pt>
                <c:pt idx="12">
                  <c:v>2538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A0-4B1F-A55B-78F9FC44182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-9398</c:v>
                </c:pt>
                <c:pt idx="1">
                  <c:v>-9254</c:v>
                </c:pt>
                <c:pt idx="2">
                  <c:v>-9152</c:v>
                </c:pt>
                <c:pt idx="3">
                  <c:v>-9131</c:v>
                </c:pt>
                <c:pt idx="4">
                  <c:v>-8987</c:v>
                </c:pt>
                <c:pt idx="5">
                  <c:v>-8984</c:v>
                </c:pt>
                <c:pt idx="6">
                  <c:v>0</c:v>
                </c:pt>
                <c:pt idx="7">
                  <c:v>1843</c:v>
                </c:pt>
                <c:pt idx="8">
                  <c:v>1858</c:v>
                </c:pt>
                <c:pt idx="9">
                  <c:v>1870</c:v>
                </c:pt>
                <c:pt idx="10">
                  <c:v>2531</c:v>
                </c:pt>
                <c:pt idx="11">
                  <c:v>2535</c:v>
                </c:pt>
                <c:pt idx="12">
                  <c:v>2538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1.61613567318484E-3</c:v>
                </c:pt>
                <c:pt idx="1">
                  <c:v>1.6226668721876472E-3</c:v>
                </c:pt>
                <c:pt idx="2">
                  <c:v>1.6272931381479693E-3</c:v>
                </c:pt>
                <c:pt idx="3">
                  <c:v>1.628245604669212E-3</c:v>
                </c:pt>
                <c:pt idx="4">
                  <c:v>1.6347768036720192E-3</c:v>
                </c:pt>
                <c:pt idx="5">
                  <c:v>1.6349128703179111E-3</c:v>
                </c:pt>
                <c:pt idx="6">
                  <c:v>2.0423871192152784E-3</c:v>
                </c:pt>
                <c:pt idx="7">
                  <c:v>2.1259773953414859E-3</c:v>
                </c:pt>
                <c:pt idx="8">
                  <c:v>2.126657728570945E-3</c:v>
                </c:pt>
                <c:pt idx="9">
                  <c:v>2.1272019951545122E-3</c:v>
                </c:pt>
                <c:pt idx="10">
                  <c:v>2.1571820127993429E-3</c:v>
                </c:pt>
                <c:pt idx="11">
                  <c:v>2.1573634349938654E-3</c:v>
                </c:pt>
                <c:pt idx="12">
                  <c:v>2.1574995016397573E-3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A0-4B1F-A55B-78F9FC441829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-9398</c:v>
                </c:pt>
                <c:pt idx="1">
                  <c:v>-9254</c:v>
                </c:pt>
                <c:pt idx="2">
                  <c:v>-9152</c:v>
                </c:pt>
                <c:pt idx="3">
                  <c:v>-9131</c:v>
                </c:pt>
                <c:pt idx="4">
                  <c:v>-8987</c:v>
                </c:pt>
                <c:pt idx="5">
                  <c:v>-8984</c:v>
                </c:pt>
                <c:pt idx="6">
                  <c:v>0</c:v>
                </c:pt>
                <c:pt idx="7">
                  <c:v>1843</c:v>
                </c:pt>
                <c:pt idx="8">
                  <c:v>1858</c:v>
                </c:pt>
                <c:pt idx="9">
                  <c:v>1870</c:v>
                </c:pt>
                <c:pt idx="10">
                  <c:v>2531</c:v>
                </c:pt>
                <c:pt idx="11">
                  <c:v>2535</c:v>
                </c:pt>
                <c:pt idx="12">
                  <c:v>2538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A0-4B1F-A55B-78F9FC44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011304"/>
        <c:axId val="1"/>
      </c:scatterChart>
      <c:valAx>
        <c:axId val="601011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011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8B67B7-B741-1C67-B064-87958FB68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72</v>
      </c>
      <c r="F1" s="22" t="s">
        <v>48</v>
      </c>
      <c r="G1" s="6">
        <v>7.3434999999999997</v>
      </c>
      <c r="H1" s="7">
        <v>-19.345700000000001</v>
      </c>
      <c r="I1" s="8">
        <v>52501.864000000001</v>
      </c>
      <c r="J1" s="8">
        <v>2.6593532999999998</v>
      </c>
      <c r="K1" s="5" t="s">
        <v>49</v>
      </c>
      <c r="L1" s="7"/>
      <c r="M1" s="8">
        <v>52501.864000000001</v>
      </c>
      <c r="N1" s="8">
        <v>2.6593532999999998</v>
      </c>
      <c r="O1" s="9" t="s">
        <v>49</v>
      </c>
    </row>
    <row r="2" spans="1:15" s="25" customFormat="1" ht="12.95" customHeight="1" x14ac:dyDescent="0.2">
      <c r="A2" s="25" t="s">
        <v>25</v>
      </c>
      <c r="B2" s="25" t="s">
        <v>49</v>
      </c>
      <c r="C2" s="26"/>
      <c r="D2" s="27"/>
    </row>
    <row r="3" spans="1:15" s="25" customFormat="1" ht="12.95" customHeight="1" thickBot="1" x14ac:dyDescent="0.25"/>
    <row r="4" spans="1:15" s="25" customFormat="1" ht="12.95" customHeight="1" thickTop="1" thickBot="1" x14ac:dyDescent="0.25">
      <c r="A4" s="28" t="s">
        <v>2</v>
      </c>
      <c r="C4" s="29">
        <v>28062.415000000001</v>
      </c>
      <c r="D4" s="30">
        <v>2.6593650000000002</v>
      </c>
    </row>
    <row r="5" spans="1:15" s="25" customFormat="1" ht="12.95" customHeight="1" thickTop="1" x14ac:dyDescent="0.2">
      <c r="A5" s="31" t="s">
        <v>29</v>
      </c>
      <c r="C5" s="32">
        <v>-9.5</v>
      </c>
      <c r="D5" s="25" t="s">
        <v>30</v>
      </c>
    </row>
    <row r="6" spans="1:15" s="25" customFormat="1" ht="12.95" customHeight="1" x14ac:dyDescent="0.2">
      <c r="A6" s="28" t="s">
        <v>3</v>
      </c>
    </row>
    <row r="7" spans="1:15" s="25" customFormat="1" ht="12.95" customHeight="1" x14ac:dyDescent="0.2">
      <c r="A7" s="25" t="s">
        <v>4</v>
      </c>
      <c r="C7" s="61">
        <v>52501.864000000001</v>
      </c>
      <c r="D7" s="34" t="s">
        <v>50</v>
      </c>
    </row>
    <row r="8" spans="1:15" s="25" customFormat="1" ht="12.95" customHeight="1" x14ac:dyDescent="0.2">
      <c r="A8" s="25" t="s">
        <v>5</v>
      </c>
      <c r="C8" s="61">
        <v>2.6593532999999998</v>
      </c>
      <c r="D8" s="34" t="s">
        <v>50</v>
      </c>
    </row>
    <row r="9" spans="1:15" s="25" customFormat="1" ht="12.95" customHeight="1" x14ac:dyDescent="0.2">
      <c r="A9" s="35" t="s">
        <v>33</v>
      </c>
      <c r="C9" s="36">
        <v>21</v>
      </c>
      <c r="D9" s="37" t="str">
        <f>"F"&amp;C9</f>
        <v>F21</v>
      </c>
      <c r="E9" s="38" t="str">
        <f>"G"&amp;C9</f>
        <v>G21</v>
      </c>
    </row>
    <row r="10" spans="1:15" s="25" customFormat="1" ht="12.95" customHeight="1" thickBot="1" x14ac:dyDescent="0.25">
      <c r="C10" s="39" t="s">
        <v>21</v>
      </c>
      <c r="D10" s="39" t="s">
        <v>22</v>
      </c>
    </row>
    <row r="11" spans="1:15" s="25" customFormat="1" ht="12.95" customHeight="1" x14ac:dyDescent="0.2">
      <c r="A11" s="25" t="s">
        <v>17</v>
      </c>
      <c r="C11" s="38">
        <f ca="1">INTERCEPT(INDIRECT($E$9):G992,INDIRECT($D$9):F992)</f>
        <v>2.0423871192152784E-3</v>
      </c>
      <c r="D11" s="27"/>
    </row>
    <row r="12" spans="1:15" s="25" customFormat="1" ht="12.95" customHeight="1" x14ac:dyDescent="0.2">
      <c r="A12" s="25" t="s">
        <v>18</v>
      </c>
      <c r="C12" s="38">
        <f ca="1">SLOPE(INDIRECT($E$9):G992,INDIRECT($D$9):F992)</f>
        <v>4.5355548630606335E-8</v>
      </c>
      <c r="D12" s="27"/>
    </row>
    <row r="13" spans="1:15" s="25" customFormat="1" ht="12.95" customHeight="1" x14ac:dyDescent="0.2">
      <c r="A13" s="25" t="s">
        <v>20</v>
      </c>
      <c r="C13" s="27" t="s">
        <v>15</v>
      </c>
    </row>
    <row r="14" spans="1:15" s="25" customFormat="1" ht="12.95" customHeight="1" x14ac:dyDescent="0.2"/>
    <row r="15" spans="1:15" s="25" customFormat="1" ht="12.95" customHeight="1" x14ac:dyDescent="0.2">
      <c r="A15" s="40" t="s">
        <v>19</v>
      </c>
      <c r="C15" s="41">
        <f ca="1">(C7+C11)+(C8+C12)*INT(MAX(F21:F3533))</f>
        <v>59251.304832899499</v>
      </c>
      <c r="E15" s="42" t="s">
        <v>34</v>
      </c>
      <c r="F15" s="43">
        <v>1</v>
      </c>
    </row>
    <row r="16" spans="1:15" s="25" customFormat="1" ht="12.95" customHeight="1" x14ac:dyDescent="0.2">
      <c r="A16" s="28" t="s">
        <v>6</v>
      </c>
      <c r="C16" s="44">
        <f ca="1">+C8+C12</f>
        <v>2.6593533453555485</v>
      </c>
      <c r="E16" s="42" t="s">
        <v>31</v>
      </c>
      <c r="F16" s="44">
        <f ca="1">NOW()+15018.5+$C$5/24</f>
        <v>60360.879017824074</v>
      </c>
    </row>
    <row r="17" spans="1:23" s="25" customFormat="1" ht="12.95" customHeight="1" thickBot="1" x14ac:dyDescent="0.25">
      <c r="A17" s="42" t="s">
        <v>28</v>
      </c>
      <c r="C17" s="25">
        <f>COUNT(C21:C2191)</f>
        <v>13</v>
      </c>
      <c r="E17" s="42" t="s">
        <v>35</v>
      </c>
      <c r="F17" s="45">
        <f ca="1">ROUND(2*(F16-$C$7)/$C$8,0)/2+F15</f>
        <v>2956</v>
      </c>
    </row>
    <row r="18" spans="1:23" s="25" customFormat="1" ht="12.95" customHeight="1" thickTop="1" thickBot="1" x14ac:dyDescent="0.25">
      <c r="A18" s="28" t="s">
        <v>7</v>
      </c>
      <c r="C18" s="46">
        <f ca="1">+C15</f>
        <v>59251.304832899499</v>
      </c>
      <c r="D18" s="47">
        <f ca="1">+C16</f>
        <v>2.6593533453555485</v>
      </c>
      <c r="E18" s="42" t="s">
        <v>36</v>
      </c>
      <c r="F18" s="38">
        <f ca="1">ROUND(2*(F16-$C$15)/$C$16,0)/2+F15</f>
        <v>418</v>
      </c>
    </row>
    <row r="19" spans="1:23" s="25" customFormat="1" ht="12.95" customHeight="1" thickTop="1" x14ac:dyDescent="0.2">
      <c r="E19" s="42" t="s">
        <v>32</v>
      </c>
      <c r="F19" s="48">
        <f ca="1">+$C$15+$C$16*F18-15018.5-$C$5/24</f>
        <v>45344.810364591453</v>
      </c>
    </row>
    <row r="20" spans="1:23" s="25" customFormat="1" ht="12.95" customHeight="1" thickBot="1" x14ac:dyDescent="0.25">
      <c r="A20" s="39" t="s">
        <v>8</v>
      </c>
      <c r="B20" s="39" t="s">
        <v>9</v>
      </c>
      <c r="C20" s="39" t="s">
        <v>10</v>
      </c>
      <c r="D20" s="39" t="s">
        <v>14</v>
      </c>
      <c r="E20" s="39" t="s">
        <v>11</v>
      </c>
      <c r="F20" s="39" t="s">
        <v>12</v>
      </c>
      <c r="G20" s="39" t="s">
        <v>13</v>
      </c>
      <c r="H20" s="49" t="s">
        <v>37</v>
      </c>
      <c r="I20" s="49" t="s">
        <v>38</v>
      </c>
      <c r="J20" s="49" t="s">
        <v>39</v>
      </c>
      <c r="K20" s="49" t="s">
        <v>40</v>
      </c>
      <c r="L20" s="49" t="s">
        <v>74</v>
      </c>
      <c r="M20" s="49" t="s">
        <v>26</v>
      </c>
      <c r="N20" s="49" t="s">
        <v>27</v>
      </c>
      <c r="O20" s="49" t="s">
        <v>24</v>
      </c>
      <c r="P20" s="50" t="s">
        <v>23</v>
      </c>
      <c r="Q20" s="39" t="s">
        <v>16</v>
      </c>
      <c r="U20" s="51" t="s">
        <v>1</v>
      </c>
    </row>
    <row r="21" spans="1:23" s="25" customFormat="1" ht="12.95" customHeight="1" x14ac:dyDescent="0.2">
      <c r="A21" s="53" t="s">
        <v>56</v>
      </c>
      <c r="B21" s="54" t="s">
        <v>71</v>
      </c>
      <c r="C21" s="55">
        <v>27509.25</v>
      </c>
      <c r="D21" s="33"/>
      <c r="E21" s="25">
        <f>+(C21-C$7)/C$8</f>
        <v>-9398.0043945270463</v>
      </c>
      <c r="F21" s="25">
        <f>ROUND(2*E21,0)/2</f>
        <v>-9398</v>
      </c>
      <c r="G21" s="25">
        <f>+C21-(C$7+F21*C$8)</f>
        <v>-1.1686600002576597E-2</v>
      </c>
      <c r="H21" s="25">
        <f>+G21</f>
        <v>-1.1686600002576597E-2</v>
      </c>
      <c r="O21" s="25">
        <f ca="1">+C$11+C$12*$F21</f>
        <v>1.61613567318484E-3</v>
      </c>
      <c r="Q21" s="52">
        <f>+C21-15018.5</f>
        <v>12490.75</v>
      </c>
    </row>
    <row r="22" spans="1:23" s="25" customFormat="1" ht="12.95" customHeight="1" x14ac:dyDescent="0.2">
      <c r="A22" s="53" t="s">
        <v>56</v>
      </c>
      <c r="B22" s="54" t="s">
        <v>71</v>
      </c>
      <c r="C22" s="55">
        <v>27892.23</v>
      </c>
      <c r="D22" s="33"/>
      <c r="E22" s="25">
        <f>+(C22-C$7)/C$8</f>
        <v>-9253.9919385664198</v>
      </c>
      <c r="F22" s="25">
        <f>ROUND(2*E22,0)/2</f>
        <v>-9254</v>
      </c>
      <c r="G22" s="25">
        <f>+C22-(C$7+F22*C$8)</f>
        <v>2.1438199997646734E-2</v>
      </c>
      <c r="H22" s="25">
        <f>+G22</f>
        <v>2.1438199997646734E-2</v>
      </c>
      <c r="O22" s="25">
        <f ca="1">+C$11+C$12*$F22</f>
        <v>1.6226668721876472E-3</v>
      </c>
      <c r="Q22" s="52">
        <f>+C22-15018.5</f>
        <v>12873.73</v>
      </c>
    </row>
    <row r="23" spans="1:23" s="25" customFormat="1" ht="12.95" customHeight="1" x14ac:dyDescent="0.2">
      <c r="A23" s="53" t="s">
        <v>56</v>
      </c>
      <c r="B23" s="54" t="s">
        <v>71</v>
      </c>
      <c r="C23" s="55">
        <v>28163.48</v>
      </c>
      <c r="D23" s="33"/>
      <c r="E23" s="25">
        <f>+(C23-C$7)/C$8</f>
        <v>-9151.9934564542455</v>
      </c>
      <c r="F23" s="25">
        <f>ROUND(2*E23,0)/2</f>
        <v>-9152</v>
      </c>
      <c r="G23" s="25">
        <f>+C23-(C$7+F23*C$8)</f>
        <v>1.7401599994627759E-2</v>
      </c>
      <c r="H23" s="25">
        <f>+G23</f>
        <v>1.7401599994627759E-2</v>
      </c>
      <c r="O23" s="25">
        <f ca="1">+C$11+C$12*$F23</f>
        <v>1.6272931381479693E-3</v>
      </c>
      <c r="Q23" s="52">
        <f>+C23-15018.5</f>
        <v>13144.98</v>
      </c>
    </row>
    <row r="24" spans="1:23" s="25" customFormat="1" ht="12.95" customHeight="1" x14ac:dyDescent="0.2">
      <c r="A24" s="53" t="s">
        <v>56</v>
      </c>
      <c r="B24" s="54" t="s">
        <v>71</v>
      </c>
      <c r="C24" s="55">
        <v>28219.279999999999</v>
      </c>
      <c r="D24" s="33"/>
      <c r="E24" s="25">
        <f>+(C24-C$7)/C$8</f>
        <v>-9131.0109115625983</v>
      </c>
      <c r="F24" s="25">
        <f>ROUND(2*E24,0)/2</f>
        <v>-9131</v>
      </c>
      <c r="G24" s="25">
        <f>+C24-(C$7+F24*C$8)</f>
        <v>-2.9017700006079394E-2</v>
      </c>
      <c r="H24" s="25">
        <f>+G24</f>
        <v>-2.9017700006079394E-2</v>
      </c>
      <c r="O24" s="25">
        <f ca="1">+C$11+C$12*$F24</f>
        <v>1.628245604669212E-3</v>
      </c>
      <c r="Q24" s="52">
        <f>+C24-15018.5</f>
        <v>13200.779999999999</v>
      </c>
    </row>
    <row r="25" spans="1:23" s="25" customFormat="1" ht="12.95" customHeight="1" x14ac:dyDescent="0.2">
      <c r="A25" s="53" t="s">
        <v>56</v>
      </c>
      <c r="B25" s="54" t="s">
        <v>71</v>
      </c>
      <c r="C25" s="55">
        <v>28602.26</v>
      </c>
      <c r="D25" s="33"/>
      <c r="E25" s="25">
        <f>+(C25-C$7)/C$8</f>
        <v>-8986.9984556019717</v>
      </c>
      <c r="F25" s="25">
        <f>ROUND(2*E25,0)/2</f>
        <v>-8987</v>
      </c>
      <c r="G25" s="25">
        <f>+C25-(C$7+F25*C$8)</f>
        <v>4.1070999941439368E-3</v>
      </c>
      <c r="H25" s="25">
        <f>+G25</f>
        <v>4.1070999941439368E-3</v>
      </c>
      <c r="O25" s="25">
        <f ca="1">+C$11+C$12*$F25</f>
        <v>1.6347768036720192E-3</v>
      </c>
      <c r="Q25" s="52">
        <f>+C25-15018.5</f>
        <v>13583.759999999998</v>
      </c>
    </row>
    <row r="26" spans="1:23" s="25" customFormat="1" ht="12.95" customHeight="1" x14ac:dyDescent="0.2">
      <c r="A26" s="53" t="s">
        <v>56</v>
      </c>
      <c r="B26" s="54" t="s">
        <v>71</v>
      </c>
      <c r="C26" s="55">
        <v>28610.240000000002</v>
      </c>
      <c r="D26" s="33"/>
      <c r="E26" s="25">
        <f>+(C26-C$7)/C$8</f>
        <v>-8983.9977260637024</v>
      </c>
      <c r="F26" s="25">
        <f>ROUND(2*E26,0)/2</f>
        <v>-8984</v>
      </c>
      <c r="G26" s="25">
        <f>+C26-(C$7+F26*C$8)</f>
        <v>6.0471999968285672E-3</v>
      </c>
      <c r="H26" s="25">
        <f>+G26</f>
        <v>6.0471999968285672E-3</v>
      </c>
      <c r="O26" s="25">
        <f ca="1">+C$11+C$12*$F26</f>
        <v>1.6349128703179111E-3</v>
      </c>
      <c r="Q26" s="52">
        <f>+C26-15018.5</f>
        <v>13591.740000000002</v>
      </c>
    </row>
    <row r="27" spans="1:23" s="25" customFormat="1" ht="12.95" customHeight="1" x14ac:dyDescent="0.2">
      <c r="A27" s="25" t="s">
        <v>50</v>
      </c>
      <c r="C27" s="33">
        <v>52501.864000000001</v>
      </c>
      <c r="D27" s="33" t="s">
        <v>15</v>
      </c>
      <c r="E27" s="25">
        <f>+(C27-C$7)/C$8</f>
        <v>0</v>
      </c>
      <c r="F27" s="25">
        <f>ROUND(2*E27,0)/2</f>
        <v>0</v>
      </c>
      <c r="G27" s="25">
        <f>+C27-(C$7+F27*C$8)</f>
        <v>0</v>
      </c>
      <c r="H27" s="25">
        <f>+G27</f>
        <v>0</v>
      </c>
      <c r="O27" s="25">
        <f ca="1">+C$11+C$12*$F27</f>
        <v>2.0423871192152784E-3</v>
      </c>
      <c r="Q27" s="52">
        <f>+C27-15018.5</f>
        <v>37483.364000000001</v>
      </c>
    </row>
    <row r="28" spans="1:23" s="25" customFormat="1" ht="12.95" customHeight="1" x14ac:dyDescent="0.2">
      <c r="A28" s="23" t="s">
        <v>0</v>
      </c>
      <c r="B28" s="24" t="s">
        <v>71</v>
      </c>
      <c r="C28" s="23">
        <v>57403.064200000001</v>
      </c>
      <c r="D28" s="23">
        <v>4.0000000000000002E-4</v>
      </c>
      <c r="E28" s="25">
        <f>+(C28-C$7)/C$8</f>
        <v>1843.0045379829749</v>
      </c>
      <c r="F28" s="25">
        <f>ROUND(2*E28,0)/2</f>
        <v>1843</v>
      </c>
      <c r="G28" s="25">
        <f>+C28-(C$7+F28*C$8)</f>
        <v>1.2068099997122772E-2</v>
      </c>
      <c r="K28" s="25">
        <f>+G28</f>
        <v>1.2068099997122772E-2</v>
      </c>
      <c r="O28" s="25">
        <f ca="1">+C$11+C$12*$F28</f>
        <v>2.1259773953414859E-3</v>
      </c>
      <c r="Q28" s="52">
        <f>+C28-15018.5</f>
        <v>42384.564200000001</v>
      </c>
    </row>
    <row r="29" spans="1:23" s="25" customFormat="1" ht="12.95" customHeight="1" x14ac:dyDescent="0.2">
      <c r="A29" s="23" t="s">
        <v>0</v>
      </c>
      <c r="B29" s="24" t="s">
        <v>71</v>
      </c>
      <c r="C29" s="23">
        <v>57442.9591</v>
      </c>
      <c r="D29" s="23">
        <v>6.9999999999999999E-4</v>
      </c>
      <c r="E29" s="25">
        <f>+(C29-C$7)/C$8</f>
        <v>1858.0062679148343</v>
      </c>
      <c r="F29" s="25">
        <f>ROUND(2*E29,0)/2</f>
        <v>1858</v>
      </c>
      <c r="G29" s="25">
        <f>+C29-(C$7+F29*C$8)</f>
        <v>1.6668600001139566E-2</v>
      </c>
      <c r="K29" s="25">
        <f>+G29</f>
        <v>1.6668600001139566E-2</v>
      </c>
      <c r="O29" s="25">
        <f ca="1">+C$11+C$12*$F29</f>
        <v>2.126657728570945E-3</v>
      </c>
      <c r="Q29" s="52">
        <f>+C29-15018.5</f>
        <v>42424.4591</v>
      </c>
    </row>
    <row r="30" spans="1:23" s="25" customFormat="1" ht="12.95" customHeight="1" x14ac:dyDescent="0.2">
      <c r="A30" s="23" t="s">
        <v>0</v>
      </c>
      <c r="B30" s="24" t="s">
        <v>71</v>
      </c>
      <c r="C30" s="23">
        <v>57474.868000000002</v>
      </c>
      <c r="D30" s="23">
        <v>5.9999999999999995E-4</v>
      </c>
      <c r="E30" s="25">
        <f>+(C30-C$7)/C$8</f>
        <v>1870.0050121208044</v>
      </c>
      <c r="F30" s="25">
        <f>ROUND(2*E30,0)/2</f>
        <v>1870</v>
      </c>
      <c r="G30" s="25">
        <f>+C30-(C$7+F30*C$8)</f>
        <v>1.3329000001249369E-2</v>
      </c>
      <c r="K30" s="25">
        <f>+G30</f>
        <v>1.3329000001249369E-2</v>
      </c>
      <c r="O30" s="25">
        <f ca="1">+C$11+C$12*$F30</f>
        <v>2.1272019951545122E-3</v>
      </c>
      <c r="Q30" s="52">
        <f>+C30-15018.5</f>
        <v>42456.368000000002</v>
      </c>
    </row>
    <row r="31" spans="1:23" s="25" customFormat="1" ht="12.95" customHeight="1" x14ac:dyDescent="0.2">
      <c r="A31" s="56" t="s">
        <v>73</v>
      </c>
      <c r="B31" s="57" t="s">
        <v>71</v>
      </c>
      <c r="C31" s="58">
        <v>59232.678650999907</v>
      </c>
      <c r="D31" s="59">
        <v>1.9680000000000001E-3</v>
      </c>
      <c r="E31" s="25">
        <f>+(C31-C$7)/C$8</f>
        <v>2530.996784443762</v>
      </c>
      <c r="F31" s="25">
        <f>ROUND(2*E31,0)/2</f>
        <v>2531</v>
      </c>
      <c r="G31" s="25">
        <f>+C31-(C$7+F31*C$8)</f>
        <v>-8.551300095859915E-3</v>
      </c>
      <c r="K31" s="25">
        <f>+G31</f>
        <v>-8.551300095859915E-3</v>
      </c>
      <c r="O31" s="25">
        <f ca="1">+C$11+C$12*$F31</f>
        <v>2.1571820127993429E-3</v>
      </c>
      <c r="Q31" s="52">
        <f>+C31-15018.5</f>
        <v>44214.178650999907</v>
      </c>
      <c r="W31" s="60" t="s">
        <v>75</v>
      </c>
    </row>
    <row r="32" spans="1:23" s="25" customFormat="1" ht="12.95" customHeight="1" x14ac:dyDescent="0.2">
      <c r="A32" s="56" t="s">
        <v>73</v>
      </c>
      <c r="B32" s="57" t="s">
        <v>71</v>
      </c>
      <c r="C32" s="58">
        <v>59243.316147000063</v>
      </c>
      <c r="D32" s="59">
        <v>2.3479999999999998E-3</v>
      </c>
      <c r="E32" s="25">
        <f>+(C32-C$7)/C$8</f>
        <v>2534.9968155792094</v>
      </c>
      <c r="F32" s="25">
        <f>ROUND(2*E32,0)/2</f>
        <v>2535</v>
      </c>
      <c r="G32" s="25">
        <f>+C32-(C$7+F32*C$8)</f>
        <v>-8.4684999383171089E-3</v>
      </c>
      <c r="K32" s="25">
        <f>+G32</f>
        <v>-8.4684999383171089E-3</v>
      </c>
      <c r="O32" s="25">
        <f ca="1">+C$11+C$12*$F32</f>
        <v>2.1573634349938654E-3</v>
      </c>
      <c r="Q32" s="52">
        <f>+C32-15018.5</f>
        <v>44224.816147000063</v>
      </c>
      <c r="W32" s="60" t="s">
        <v>75</v>
      </c>
    </row>
    <row r="33" spans="1:23" s="25" customFormat="1" ht="12.95" customHeight="1" x14ac:dyDescent="0.2">
      <c r="A33" s="56" t="s">
        <v>73</v>
      </c>
      <c r="B33" s="57" t="s">
        <v>71</v>
      </c>
      <c r="C33" s="58">
        <v>59251.293998000212</v>
      </c>
      <c r="D33" s="59">
        <v>2.1740000000000002E-3</v>
      </c>
      <c r="E33" s="25">
        <f>+(C33-C$7)/C$8</f>
        <v>2537.996737026333</v>
      </c>
      <c r="F33" s="25">
        <f>ROUND(2*E33,0)/2</f>
        <v>2538</v>
      </c>
      <c r="G33" s="25">
        <f>+C33-(C$7+F33*C$8)</f>
        <v>-8.6773997900309041E-3</v>
      </c>
      <c r="K33" s="25">
        <f>+G33</f>
        <v>-8.6773997900309041E-3</v>
      </c>
      <c r="O33" s="25">
        <f ca="1">+C$11+C$12*$F33</f>
        <v>2.1574995016397573E-3</v>
      </c>
      <c r="Q33" s="52">
        <f>+C33-15018.5</f>
        <v>44232.793998000212</v>
      </c>
      <c r="W33" s="60" t="s">
        <v>75</v>
      </c>
    </row>
    <row r="34" spans="1:23" s="25" customFormat="1" ht="12.95" customHeight="1" x14ac:dyDescent="0.2">
      <c r="C34" s="33"/>
      <c r="D34" s="33"/>
    </row>
    <row r="35" spans="1:23" s="25" customFormat="1" ht="12.95" customHeight="1" x14ac:dyDescent="0.2">
      <c r="C35" s="33"/>
      <c r="D35" s="33"/>
    </row>
    <row r="36" spans="1:23" s="25" customFormat="1" ht="12.95" customHeight="1" x14ac:dyDescent="0.2">
      <c r="C36" s="33"/>
      <c r="D36" s="33"/>
    </row>
    <row r="37" spans="1:23" s="25" customFormat="1" ht="12.95" customHeight="1" x14ac:dyDescent="0.2">
      <c r="C37" s="33"/>
      <c r="D37" s="33"/>
    </row>
    <row r="38" spans="1:23" s="25" customFormat="1" ht="12.95" customHeight="1" x14ac:dyDescent="0.2">
      <c r="C38" s="33"/>
      <c r="D38" s="33"/>
    </row>
    <row r="39" spans="1:23" s="25" customFormat="1" ht="12.95" customHeight="1" x14ac:dyDescent="0.2">
      <c r="C39" s="33"/>
      <c r="D39" s="33"/>
    </row>
    <row r="40" spans="1:23" s="25" customFormat="1" ht="12.95" customHeight="1" x14ac:dyDescent="0.2">
      <c r="C40" s="33"/>
      <c r="D40" s="33"/>
    </row>
    <row r="41" spans="1:23" s="25" customFormat="1" ht="12.95" customHeight="1" x14ac:dyDescent="0.2">
      <c r="C41" s="33"/>
      <c r="D41" s="33"/>
    </row>
    <row r="42" spans="1:23" s="25" customFormat="1" ht="12.95" customHeight="1" x14ac:dyDescent="0.2">
      <c r="C42" s="33"/>
      <c r="D42" s="33"/>
    </row>
    <row r="43" spans="1:23" s="25" customFormat="1" ht="12.95" customHeight="1" x14ac:dyDescent="0.2">
      <c r="C43" s="33"/>
      <c r="D43" s="33"/>
    </row>
    <row r="44" spans="1:23" s="25" customFormat="1" ht="12.95" customHeight="1" x14ac:dyDescent="0.2">
      <c r="C44" s="33"/>
      <c r="D44" s="33"/>
    </row>
    <row r="45" spans="1:23" s="25" customFormat="1" ht="12.95" customHeight="1" x14ac:dyDescent="0.2">
      <c r="C45" s="33"/>
      <c r="D45" s="33"/>
    </row>
    <row r="46" spans="1:23" s="25" customFormat="1" ht="12.95" customHeight="1" x14ac:dyDescent="0.2">
      <c r="C46" s="33"/>
      <c r="D46" s="33"/>
    </row>
    <row r="47" spans="1:23" s="25" customFormat="1" ht="12.95" customHeight="1" x14ac:dyDescent="0.2">
      <c r="C47" s="33"/>
      <c r="D47" s="33"/>
    </row>
    <row r="48" spans="1:23" s="25" customFormat="1" ht="12.95" customHeight="1" x14ac:dyDescent="0.2">
      <c r="C48" s="33"/>
      <c r="D48" s="33"/>
    </row>
    <row r="49" spans="3:4" s="25" customFormat="1" ht="12.95" customHeight="1" x14ac:dyDescent="0.2">
      <c r="C49" s="33"/>
      <c r="D49" s="33"/>
    </row>
    <row r="50" spans="3:4" s="25" customFormat="1" ht="12.95" customHeight="1" x14ac:dyDescent="0.2">
      <c r="C50" s="33"/>
      <c r="D50" s="33"/>
    </row>
    <row r="51" spans="3:4" s="25" customFormat="1" ht="12.95" customHeight="1" x14ac:dyDescent="0.2">
      <c r="C51" s="33"/>
      <c r="D51" s="33"/>
    </row>
    <row r="52" spans="3:4" s="25" customFormat="1" ht="12.95" customHeight="1" x14ac:dyDescent="0.2">
      <c r="C52" s="33"/>
      <c r="D52" s="3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Z40">
    <sortCondition ref="C21:C40"/>
  </sortState>
  <phoneticPr fontId="8" type="noConversion"/>
  <hyperlinks>
    <hyperlink ref="H63103" r:id="rId1" display="http://vsolj.cetus-net.org/bulletin.html"/>
    <hyperlink ref="H63096" r:id="rId2" display="https://www.aavso.org/ejaavso"/>
    <hyperlink ref="I63103" r:id="rId3" display="http://vsolj.cetus-net.org/bulletin.html"/>
    <hyperlink ref="AQ56754" r:id="rId4" display="http://cdsbib.u-strasbg.fr/cgi-bin/cdsbib?1990RMxAA..21..381G"/>
    <hyperlink ref="H63100" r:id="rId5" display="https://www.aavso.org/ejaavso"/>
    <hyperlink ref="AP4118" r:id="rId6" display="http://cdsbib.u-strasbg.fr/cgi-bin/cdsbib?1990RMxAA..21..381G"/>
    <hyperlink ref="AP4121" r:id="rId7" display="http://cdsbib.u-strasbg.fr/cgi-bin/cdsbib?1990RMxAA..21..381G"/>
    <hyperlink ref="AP4119" r:id="rId8" display="http://cdsbib.u-strasbg.fr/cgi-bin/cdsbib?1990RMxAA..21..381G"/>
    <hyperlink ref="AP4103" r:id="rId9" display="http://cdsbib.u-strasbg.fr/cgi-bin/cdsbib?1990RMxAA..21..381G"/>
    <hyperlink ref="AQ4332" r:id="rId10" display="http://cdsbib.u-strasbg.fr/cgi-bin/cdsbib?1990RMxAA..21..381G"/>
    <hyperlink ref="AQ4336" r:id="rId11" display="http://cdsbib.u-strasbg.fr/cgi-bin/cdsbib?1990RMxAA..21..381G"/>
    <hyperlink ref="AQ64016" r:id="rId12" display="http://cdsbib.u-strasbg.fr/cgi-bin/cdsbib?1990RMxAA..21..381G"/>
    <hyperlink ref="I1224" r:id="rId13" display="http://vsolj.cetus-net.org/bulletin.html"/>
    <hyperlink ref="H1224" r:id="rId14" display="http://vsolj.cetus-net.org/bulletin.html"/>
    <hyperlink ref="AQ64677" r:id="rId15" display="http://cdsbib.u-strasbg.fr/cgi-bin/cdsbib?1990RMxAA..21..381G"/>
    <hyperlink ref="AQ64676" r:id="rId16" display="http://cdsbib.u-strasbg.fr/cgi-bin/cdsbib?1990RMxAA..21..381G"/>
    <hyperlink ref="AP2394" r:id="rId17" display="http://cdsbib.u-strasbg.fr/cgi-bin/cdsbib?1990RMxAA..21..381G"/>
    <hyperlink ref="AP2412" r:id="rId18" display="http://cdsbib.u-strasbg.fr/cgi-bin/cdsbib?1990RMxAA..21..381G"/>
    <hyperlink ref="AP2413" r:id="rId19" display="http://cdsbib.u-strasbg.fr/cgi-bin/cdsbib?1990RMxAA..21..381G"/>
    <hyperlink ref="AP240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5"/>
  <sheetViews>
    <sheetView workbookViewId="0">
      <selection activeCell="A11" sqref="A11:C1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0" t="s">
        <v>41</v>
      </c>
      <c r="I1" s="11" t="s">
        <v>42</v>
      </c>
      <c r="J1" s="12" t="s">
        <v>40</v>
      </c>
    </row>
    <row r="2" spans="1:16" x14ac:dyDescent="0.2">
      <c r="I2" s="13" t="s">
        <v>43</v>
      </c>
      <c r="J2" s="14" t="s">
        <v>39</v>
      </c>
    </row>
    <row r="3" spans="1:16" x14ac:dyDescent="0.2">
      <c r="A3" s="15" t="s">
        <v>44</v>
      </c>
      <c r="I3" s="13" t="s">
        <v>45</v>
      </c>
      <c r="J3" s="14" t="s">
        <v>37</v>
      </c>
    </row>
    <row r="4" spans="1:16" x14ac:dyDescent="0.2">
      <c r="I4" s="13" t="s">
        <v>46</v>
      </c>
      <c r="J4" s="14" t="s">
        <v>37</v>
      </c>
    </row>
    <row r="5" spans="1:16" ht="13.5" thickBot="1" x14ac:dyDescent="0.25">
      <c r="I5" s="16" t="s">
        <v>47</v>
      </c>
      <c r="J5" s="17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16" si="0">P11</f>
        <v> PLOU 106.6 </v>
      </c>
      <c r="B11" s="2" t="str">
        <f t="shared" ref="B11:B16" si="1">IF(H11=INT(H11),"I","II")</f>
        <v>I</v>
      </c>
      <c r="C11" s="3">
        <f t="shared" ref="C11:C16" si="2">1*G11</f>
        <v>27509.25</v>
      </c>
      <c r="D11" s="4" t="str">
        <f t="shared" ref="D11:D16" si="3">VLOOKUP(F11,I$1:J$5,2,FALSE)</f>
        <v>vis</v>
      </c>
      <c r="E11" s="18">
        <f>VLOOKUP(C11,A!C$21:E$973,3,FALSE)</f>
        <v>-9398.0043945270463</v>
      </c>
      <c r="F11" s="2" t="s">
        <v>47</v>
      </c>
      <c r="G11" s="4" t="str">
        <f t="shared" ref="G11:G16" si="4">MID(I11,3,LEN(I11)-3)</f>
        <v>27509.25</v>
      </c>
      <c r="H11" s="3">
        <f t="shared" ref="H11:H16" si="5">1*K11</f>
        <v>-208</v>
      </c>
      <c r="I11" s="19" t="s">
        <v>51</v>
      </c>
      <c r="J11" s="20" t="s">
        <v>52</v>
      </c>
      <c r="K11" s="19">
        <v>-208</v>
      </c>
      <c r="L11" s="19" t="s">
        <v>53</v>
      </c>
      <c r="M11" s="20" t="s">
        <v>54</v>
      </c>
      <c r="N11" s="20"/>
      <c r="O11" s="21" t="s">
        <v>55</v>
      </c>
      <c r="P11" s="21" t="s">
        <v>56</v>
      </c>
    </row>
    <row r="12" spans="1:16" ht="12.75" customHeight="1" thickBot="1" x14ac:dyDescent="0.25">
      <c r="A12" s="3" t="str">
        <f t="shared" si="0"/>
        <v> PLOU 106.6 </v>
      </c>
      <c r="B12" s="2" t="str">
        <f t="shared" si="1"/>
        <v>I</v>
      </c>
      <c r="C12" s="3">
        <f t="shared" si="2"/>
        <v>27892.23</v>
      </c>
      <c r="D12" s="4" t="str">
        <f t="shared" si="3"/>
        <v>vis</v>
      </c>
      <c r="E12" s="18">
        <f>VLOOKUP(C12,A!C$21:E$973,3,FALSE)</f>
        <v>-9253.9919385664198</v>
      </c>
      <c r="F12" s="2" t="s">
        <v>47</v>
      </c>
      <c r="G12" s="4" t="str">
        <f t="shared" si="4"/>
        <v>27892.23</v>
      </c>
      <c r="H12" s="3">
        <f t="shared" si="5"/>
        <v>-64</v>
      </c>
      <c r="I12" s="19" t="s">
        <v>57</v>
      </c>
      <c r="J12" s="20" t="s">
        <v>58</v>
      </c>
      <c r="K12" s="19">
        <v>-64</v>
      </c>
      <c r="L12" s="19" t="s">
        <v>59</v>
      </c>
      <c r="M12" s="20" t="s">
        <v>54</v>
      </c>
      <c r="N12" s="20"/>
      <c r="O12" s="21" t="s">
        <v>55</v>
      </c>
      <c r="P12" s="21" t="s">
        <v>56</v>
      </c>
    </row>
    <row r="13" spans="1:16" ht="12.75" customHeight="1" thickBot="1" x14ac:dyDescent="0.25">
      <c r="A13" s="3" t="str">
        <f t="shared" si="0"/>
        <v> PLOU 106.6 </v>
      </c>
      <c r="B13" s="2" t="str">
        <f t="shared" si="1"/>
        <v>I</v>
      </c>
      <c r="C13" s="3">
        <f t="shared" si="2"/>
        <v>28163.48</v>
      </c>
      <c r="D13" s="4" t="str">
        <f t="shared" si="3"/>
        <v>vis</v>
      </c>
      <c r="E13" s="18">
        <f>VLOOKUP(C13,A!C$21:E$973,3,FALSE)</f>
        <v>-9151.9934564542455</v>
      </c>
      <c r="F13" s="2" t="s">
        <v>47</v>
      </c>
      <c r="G13" s="4" t="str">
        <f t="shared" si="4"/>
        <v>28163.48</v>
      </c>
      <c r="H13" s="3">
        <f t="shared" si="5"/>
        <v>38</v>
      </c>
      <c r="I13" s="19" t="s">
        <v>60</v>
      </c>
      <c r="J13" s="20" t="s">
        <v>61</v>
      </c>
      <c r="K13" s="19">
        <v>38</v>
      </c>
      <c r="L13" s="19" t="s">
        <v>59</v>
      </c>
      <c r="M13" s="20" t="s">
        <v>54</v>
      </c>
      <c r="N13" s="20"/>
      <c r="O13" s="21" t="s">
        <v>55</v>
      </c>
      <c r="P13" s="21" t="s">
        <v>56</v>
      </c>
    </row>
    <row r="14" spans="1:16" ht="12.75" customHeight="1" thickBot="1" x14ac:dyDescent="0.25">
      <c r="A14" s="3" t="str">
        <f t="shared" si="0"/>
        <v> PLOU 106.6 </v>
      </c>
      <c r="B14" s="2" t="str">
        <f t="shared" si="1"/>
        <v>I</v>
      </c>
      <c r="C14" s="3">
        <f t="shared" si="2"/>
        <v>28219.279999999999</v>
      </c>
      <c r="D14" s="4" t="str">
        <f t="shared" si="3"/>
        <v>vis</v>
      </c>
      <c r="E14" s="18">
        <f>VLOOKUP(C14,A!C$21:E$973,3,FALSE)</f>
        <v>-9131.0109115625983</v>
      </c>
      <c r="F14" s="2" t="s">
        <v>47</v>
      </c>
      <c r="G14" s="4" t="str">
        <f t="shared" si="4"/>
        <v>28219.28</v>
      </c>
      <c r="H14" s="3">
        <f t="shared" si="5"/>
        <v>59</v>
      </c>
      <c r="I14" s="19" t="s">
        <v>62</v>
      </c>
      <c r="J14" s="20" t="s">
        <v>63</v>
      </c>
      <c r="K14" s="19">
        <v>59</v>
      </c>
      <c r="L14" s="19" t="s">
        <v>64</v>
      </c>
      <c r="M14" s="20" t="s">
        <v>54</v>
      </c>
      <c r="N14" s="20"/>
      <c r="O14" s="21" t="s">
        <v>55</v>
      </c>
      <c r="P14" s="21" t="s">
        <v>56</v>
      </c>
    </row>
    <row r="15" spans="1:16" ht="12.75" customHeight="1" thickBot="1" x14ac:dyDescent="0.25">
      <c r="A15" s="3" t="str">
        <f t="shared" si="0"/>
        <v> PLOU 106.6 </v>
      </c>
      <c r="B15" s="2" t="str">
        <f t="shared" si="1"/>
        <v>I</v>
      </c>
      <c r="C15" s="3">
        <f t="shared" si="2"/>
        <v>28602.26</v>
      </c>
      <c r="D15" s="4" t="str">
        <f t="shared" si="3"/>
        <v>vis</v>
      </c>
      <c r="E15" s="18">
        <f>VLOOKUP(C15,A!C$21:E$973,3,FALSE)</f>
        <v>-8986.9984556019717</v>
      </c>
      <c r="F15" s="2" t="s">
        <v>47</v>
      </c>
      <c r="G15" s="4" t="str">
        <f t="shared" si="4"/>
        <v>28602.26</v>
      </c>
      <c r="H15" s="3">
        <f t="shared" si="5"/>
        <v>203</v>
      </c>
      <c r="I15" s="19" t="s">
        <v>65</v>
      </c>
      <c r="J15" s="20" t="s">
        <v>66</v>
      </c>
      <c r="K15" s="19">
        <v>203</v>
      </c>
      <c r="L15" s="19" t="s">
        <v>67</v>
      </c>
      <c r="M15" s="20" t="s">
        <v>54</v>
      </c>
      <c r="N15" s="20"/>
      <c r="O15" s="21" t="s">
        <v>55</v>
      </c>
      <c r="P15" s="21" t="s">
        <v>56</v>
      </c>
    </row>
    <row r="16" spans="1:16" ht="12.75" customHeight="1" thickBot="1" x14ac:dyDescent="0.25">
      <c r="A16" s="3" t="str">
        <f t="shared" si="0"/>
        <v> PLOU 106.6 </v>
      </c>
      <c r="B16" s="2" t="str">
        <f t="shared" si="1"/>
        <v>I</v>
      </c>
      <c r="C16" s="3">
        <f t="shared" si="2"/>
        <v>28610.240000000002</v>
      </c>
      <c r="D16" s="4" t="str">
        <f t="shared" si="3"/>
        <v>vis</v>
      </c>
      <c r="E16" s="18">
        <f>VLOOKUP(C16,A!C$21:E$973,3,FALSE)</f>
        <v>-8983.9977260637024</v>
      </c>
      <c r="F16" s="2" t="s">
        <v>47</v>
      </c>
      <c r="G16" s="4" t="str">
        <f t="shared" si="4"/>
        <v>28610.24</v>
      </c>
      <c r="H16" s="3">
        <f t="shared" si="5"/>
        <v>206</v>
      </c>
      <c r="I16" s="19" t="s">
        <v>68</v>
      </c>
      <c r="J16" s="20" t="s">
        <v>69</v>
      </c>
      <c r="K16" s="19">
        <v>206</v>
      </c>
      <c r="L16" s="19" t="s">
        <v>70</v>
      </c>
      <c r="M16" s="20" t="s">
        <v>54</v>
      </c>
      <c r="N16" s="20"/>
      <c r="O16" s="21" t="s">
        <v>55</v>
      </c>
      <c r="P16" s="21" t="s">
        <v>56</v>
      </c>
    </row>
    <row r="17" spans="2:6" x14ac:dyDescent="0.2">
      <c r="B17" s="2"/>
      <c r="E17" s="18"/>
      <c r="F17" s="2"/>
    </row>
    <row r="18" spans="2:6" x14ac:dyDescent="0.2">
      <c r="B18" s="2"/>
      <c r="F18" s="2"/>
    </row>
    <row r="19" spans="2:6" x14ac:dyDescent="0.2">
      <c r="B19" s="2"/>
      <c r="F19" s="2"/>
    </row>
    <row r="20" spans="2:6" x14ac:dyDescent="0.2">
      <c r="B20" s="2"/>
      <c r="F20" s="2"/>
    </row>
    <row r="21" spans="2:6" x14ac:dyDescent="0.2">
      <c r="B21" s="2"/>
      <c r="F21" s="2"/>
    </row>
    <row r="22" spans="2:6" x14ac:dyDescent="0.2">
      <c r="B22" s="2"/>
      <c r="F22" s="2"/>
    </row>
    <row r="23" spans="2:6" x14ac:dyDescent="0.2">
      <c r="B23" s="2"/>
      <c r="F23" s="2"/>
    </row>
    <row r="24" spans="2:6" x14ac:dyDescent="0.2">
      <c r="B24" s="2"/>
      <c r="F24" s="2"/>
    </row>
    <row r="25" spans="2:6" x14ac:dyDescent="0.2">
      <c r="B25" s="2"/>
      <c r="F25" s="2"/>
    </row>
    <row r="26" spans="2:6" x14ac:dyDescent="0.2">
      <c r="B26" s="2"/>
      <c r="F26" s="2"/>
    </row>
    <row r="27" spans="2:6" x14ac:dyDescent="0.2">
      <c r="B27" s="2"/>
      <c r="F27" s="2"/>
    </row>
    <row r="28" spans="2:6" x14ac:dyDescent="0.2">
      <c r="B28" s="2"/>
      <c r="F28" s="2"/>
    </row>
    <row r="29" spans="2:6" x14ac:dyDescent="0.2">
      <c r="B29" s="2"/>
      <c r="F29" s="2"/>
    </row>
    <row r="30" spans="2:6" x14ac:dyDescent="0.2">
      <c r="B30" s="2"/>
      <c r="F30" s="2"/>
    </row>
    <row r="31" spans="2:6" x14ac:dyDescent="0.2">
      <c r="B31" s="2"/>
      <c r="F31" s="2"/>
    </row>
    <row r="32" spans="2: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2024-02-20T08:05:47Z</dcterms:modified>
</cp:coreProperties>
</file>