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95D26558-8A48-4B18-98D2-2DD17EA14CD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H21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Q21" i="1"/>
  <c r="Q22" i="1"/>
  <c r="Q23" i="1"/>
  <c r="Q24" i="1"/>
  <c r="Q25" i="1"/>
  <c r="Q26" i="1"/>
  <c r="Q27" i="1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G11" i="2"/>
  <c r="C11" i="2"/>
  <c r="E11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2" i="2"/>
  <c r="D12" i="2"/>
  <c r="B12" i="2"/>
  <c r="A12" i="2"/>
  <c r="H11" i="2"/>
  <c r="B11" i="2"/>
  <c r="D11" i="2"/>
  <c r="A11" i="2"/>
  <c r="D9" i="1"/>
  <c r="E9" i="1"/>
  <c r="F16" i="1"/>
  <c r="C17" i="1"/>
  <c r="Q28" i="1"/>
  <c r="C11" i="1"/>
  <c r="C12" i="1"/>
  <c r="C16" i="1" l="1"/>
  <c r="D18" i="1" s="1"/>
  <c r="O21" i="1"/>
  <c r="C15" i="1"/>
  <c r="O26" i="1"/>
  <c r="O28" i="1"/>
  <c r="O22" i="1"/>
  <c r="O23" i="1"/>
  <c r="O24" i="1"/>
  <c r="O27" i="1"/>
  <c r="O25" i="1"/>
  <c r="F17" i="1"/>
  <c r="C18" i="1" l="1"/>
  <c r="F18" i="1"/>
  <c r="F19" i="1" s="1"/>
</calcChain>
</file>

<file path=xl/sharedStrings.xml><?xml version="1.0" encoding="utf-8"?>
<sst xmlns="http://schemas.openxmlformats.org/spreadsheetml/2006/main" count="125" uniqueCount="83">
  <si>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</si>
  <si>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</si>
  <si>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</si>
  <si>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</si>
  <si>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</si>
  <si>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</si>
  <si>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</si>
  <si>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</si>
  <si>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</si>
  <si>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</si>
  <si>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</si>
  <si>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</si>
  <si>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</si>
  <si>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</si>
  <si>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</si>
  <si>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</si>
  <si>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</si>
  <si>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</si>
  <si>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</si>
  <si>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</si>
  <si>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</si>
  <si>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</si>
  <si>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</si>
  <si>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</si>
  <si>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</si>
  <si>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</si>
  <si>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</si>
  <si>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</si>
  <si>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</si>
  <si>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</si>
  <si>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</si>
  <si>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</si>
  <si>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</si>
  <si>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</si>
  <si>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</si>
  <si>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</si>
  <si>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</si>
  <si>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</si>
  <si>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</si>
  <si>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</si>
  <si>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</si>
  <si>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</si>
  <si>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</si>
  <si>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</si>
  <si>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</si>
  <si>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</si>
  <si>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</si>
  <si>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</si>
  <si>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F </t>
  </si>
  <si>
    <t>DI Pup</t>
  </si>
  <si>
    <t>EA/SD:</t>
  </si>
  <si>
    <t>GCVS 4</t>
  </si>
  <si>
    <t>DI Pup / GSC 2500.6331</t>
  </si>
  <si>
    <t>2425758.194 </t>
  </si>
  <si>
    <t> 26.05.1929 16:39 </t>
  </si>
  <si>
    <t> 0.000 </t>
  </si>
  <si>
    <t> C.H.D.Steinmetz </t>
  </si>
  <si>
    <t> BAN 10.260 </t>
  </si>
  <si>
    <t>2429339.317 </t>
  </si>
  <si>
    <t> 16.03.1939 19:36 </t>
  </si>
  <si>
    <t> -0.109 </t>
  </si>
  <si>
    <t>P </t>
  </si>
  <si>
    <t> K.Löchel </t>
  </si>
  <si>
    <t> MVS 189 </t>
  </si>
  <si>
    <t>2429670.439 </t>
  </si>
  <si>
    <t> 10.02.1940 22:32 </t>
  </si>
  <si>
    <t> 0.018 </t>
  </si>
  <si>
    <t>2449402.272 </t>
  </si>
  <si>
    <t> 18.02.1994 18:31 </t>
  </si>
  <si>
    <t> 0.099 </t>
  </si>
  <si>
    <t>V </t>
  </si>
  <si>
    <t> C.Stephan </t>
  </si>
  <si>
    <t> AOEB 12 </t>
  </si>
  <si>
    <t>2449765.677 </t>
  </si>
  <si>
    <t> 17.02.1995 04:14 </t>
  </si>
  <si>
    <t> 0.092 </t>
  </si>
  <si>
    <t>2450898.574 </t>
  </si>
  <si>
    <t> 26.03.1998 01:46 </t>
  </si>
  <si>
    <t> 0.098 </t>
  </si>
  <si>
    <t>2451229.552 </t>
  </si>
  <si>
    <t> 20.02.1999 01:14 </t>
  </si>
  <si>
    <t> 0.080 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</si>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</sst>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2" applyNumberFormat="0" applyFont="0" applyFill="0" applyAlignment="0" applyProtection="0"/>
  </cellStyleXfs>
  <cellXfs count="5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1" xfId="0" applyFont="1" applyBorder="1" applyAlignment="1">
      <alignment vertical="center"/>
    </xf>
    <xf numFmtId="0" fontId="16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6" fillId="4" borderId="1" xfId="0" applyFont="1" applyFill="1" applyBorder="1" applyAlignment="1">
      <alignment horizontal="left" vertic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DI Pup - O-C Diagr.</a:t>
            </a:r>
          </a:p>
        </c:rich>
      </c:tx>
      <c:layout>
        <c:manualLayout>
          <c:xMode val="edge"/>
          <c:yMode val="edge"/>
          <c:x val="0.3894736842105263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-15674</c:v>
                </c:pt>
                <c:pt idx="1">
                  <c:v>-13575</c:v>
                </c:pt>
                <c:pt idx="2">
                  <c:v>-13381</c:v>
                </c:pt>
                <c:pt idx="3">
                  <c:v>-1816</c:v>
                </c:pt>
                <c:pt idx="4">
                  <c:v>-1603</c:v>
                </c:pt>
                <c:pt idx="5">
                  <c:v>-939</c:v>
                </c:pt>
                <c:pt idx="6">
                  <c:v>-745</c:v>
                </c:pt>
                <c:pt idx="7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-0.31766779999816208</c:v>
                </c:pt>
                <c:pt idx="1">
                  <c:v>-0.39365249999900698</c:v>
                </c:pt>
                <c:pt idx="2">
                  <c:v>-0.26384070000131032</c:v>
                </c:pt>
                <c:pt idx="3">
                  <c:v>-1.2352000048849732E-3</c:v>
                </c:pt>
                <c:pt idx="4">
                  <c:v>-5.1840999949490651E-3</c:v>
                </c:pt>
                <c:pt idx="5">
                  <c:v>1.1336700001265854E-2</c:v>
                </c:pt>
                <c:pt idx="6">
                  <c:v>-2.8514999939943664E-3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92-4AC0-B3F7-AD3A12934BB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-15674</c:v>
                </c:pt>
                <c:pt idx="1">
                  <c:v>-13575</c:v>
                </c:pt>
                <c:pt idx="2">
                  <c:v>-13381</c:v>
                </c:pt>
                <c:pt idx="3">
                  <c:v>-1816</c:v>
                </c:pt>
                <c:pt idx="4">
                  <c:v>-1603</c:v>
                </c:pt>
                <c:pt idx="5">
                  <c:v>-939</c:v>
                </c:pt>
                <c:pt idx="6">
                  <c:v>-745</c:v>
                </c:pt>
                <c:pt idx="7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92-4AC0-B3F7-AD3A12934BB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-15674</c:v>
                </c:pt>
                <c:pt idx="1">
                  <c:v>-13575</c:v>
                </c:pt>
                <c:pt idx="2">
                  <c:v>-13381</c:v>
                </c:pt>
                <c:pt idx="3">
                  <c:v>-1816</c:v>
                </c:pt>
                <c:pt idx="4">
                  <c:v>-1603</c:v>
                </c:pt>
                <c:pt idx="5">
                  <c:v>-939</c:v>
                </c:pt>
                <c:pt idx="6">
                  <c:v>-745</c:v>
                </c:pt>
                <c:pt idx="7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92-4AC0-B3F7-AD3A12934BB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-15674</c:v>
                </c:pt>
                <c:pt idx="1">
                  <c:v>-13575</c:v>
                </c:pt>
                <c:pt idx="2">
                  <c:v>-13381</c:v>
                </c:pt>
                <c:pt idx="3">
                  <c:v>-1816</c:v>
                </c:pt>
                <c:pt idx="4">
                  <c:v>-1603</c:v>
                </c:pt>
                <c:pt idx="5">
                  <c:v>-939</c:v>
                </c:pt>
                <c:pt idx="6">
                  <c:v>-745</c:v>
                </c:pt>
                <c:pt idx="7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92-4AC0-B3F7-AD3A12934BB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-15674</c:v>
                </c:pt>
                <c:pt idx="1">
                  <c:v>-13575</c:v>
                </c:pt>
                <c:pt idx="2">
                  <c:v>-13381</c:v>
                </c:pt>
                <c:pt idx="3">
                  <c:v>-1816</c:v>
                </c:pt>
                <c:pt idx="4">
                  <c:v>-1603</c:v>
                </c:pt>
                <c:pt idx="5">
                  <c:v>-939</c:v>
                </c:pt>
                <c:pt idx="6">
                  <c:v>-745</c:v>
                </c:pt>
                <c:pt idx="7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92-4AC0-B3F7-AD3A12934BB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-15674</c:v>
                </c:pt>
                <c:pt idx="1">
                  <c:v>-13575</c:v>
                </c:pt>
                <c:pt idx="2">
                  <c:v>-13381</c:v>
                </c:pt>
                <c:pt idx="3">
                  <c:v>-1816</c:v>
                </c:pt>
                <c:pt idx="4">
                  <c:v>-1603</c:v>
                </c:pt>
                <c:pt idx="5">
                  <c:v>-939</c:v>
                </c:pt>
                <c:pt idx="6">
                  <c:v>-745</c:v>
                </c:pt>
                <c:pt idx="7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92-4AC0-B3F7-AD3A12934BB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-15674</c:v>
                </c:pt>
                <c:pt idx="1">
                  <c:v>-13575</c:v>
                </c:pt>
                <c:pt idx="2">
                  <c:v>-13381</c:v>
                </c:pt>
                <c:pt idx="3">
                  <c:v>-1816</c:v>
                </c:pt>
                <c:pt idx="4">
                  <c:v>-1603</c:v>
                </c:pt>
                <c:pt idx="5">
                  <c:v>-939</c:v>
                </c:pt>
                <c:pt idx="6">
                  <c:v>-745</c:v>
                </c:pt>
                <c:pt idx="7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92-4AC0-B3F7-AD3A12934BB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-15674</c:v>
                </c:pt>
                <c:pt idx="1">
                  <c:v>-13575</c:v>
                </c:pt>
                <c:pt idx="2">
                  <c:v>-13381</c:v>
                </c:pt>
                <c:pt idx="3">
                  <c:v>-1816</c:v>
                </c:pt>
                <c:pt idx="4">
                  <c:v>-1603</c:v>
                </c:pt>
                <c:pt idx="5">
                  <c:v>-939</c:v>
                </c:pt>
                <c:pt idx="6">
                  <c:v>-745</c:v>
                </c:pt>
                <c:pt idx="7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-0.35734363324732732</c:v>
                </c:pt>
                <c:pt idx="1">
                  <c:v>-0.30637738755001054</c:v>
                </c:pt>
                <c:pt idx="2">
                  <c:v>-0.30166683411252626</c:v>
                </c:pt>
                <c:pt idx="3">
                  <c:v>-2.0854718109921018E-2</c:v>
                </c:pt>
                <c:pt idx="4">
                  <c:v>-1.5682821810002731E-2</c:v>
                </c:pt>
                <c:pt idx="5">
                  <c:v>4.3989717190214342E-4</c:v>
                </c:pt>
                <c:pt idx="6">
                  <c:v>5.1504506093863998E-3</c:v>
                </c:pt>
                <c:pt idx="7">
                  <c:v>2.3239947057457383E-2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92-4AC0-B3F7-AD3A12934BB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-15674</c:v>
                </c:pt>
                <c:pt idx="1">
                  <c:v>-13575</c:v>
                </c:pt>
                <c:pt idx="2">
                  <c:v>-13381</c:v>
                </c:pt>
                <c:pt idx="3">
                  <c:v>-1816</c:v>
                </c:pt>
                <c:pt idx="4">
                  <c:v>-1603</c:v>
                </c:pt>
                <c:pt idx="5">
                  <c:v>-939</c:v>
                </c:pt>
                <c:pt idx="6">
                  <c:v>-745</c:v>
                </c:pt>
                <c:pt idx="7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92-4AC0-B3F7-AD3A12934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8714384"/>
        <c:axId val="1"/>
      </c:scatterChart>
      <c:valAx>
        <c:axId val="928714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28714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19050</xdr:rowOff>
    </xdr:from>
    <xdr:to>
      <xdr:col>17</xdr:col>
      <xdr:colOff>114300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CD56774-1B9A-A49C-BF24-651FF9574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52</v>
      </c>
      <c r="F1" s="23" t="s">
        <v>49</v>
      </c>
      <c r="G1" s="7">
        <v>7.5640600000000004</v>
      </c>
      <c r="H1" s="8">
        <v>-19.2912</v>
      </c>
      <c r="I1" s="9">
        <v>52500.633099999999</v>
      </c>
      <c r="J1" s="9">
        <v>1.7061453</v>
      </c>
      <c r="K1" s="6" t="s">
        <v>50</v>
      </c>
      <c r="L1" s="8"/>
      <c r="M1" s="9">
        <v>52500.633099999999</v>
      </c>
      <c r="N1" s="9">
        <v>1.7061453</v>
      </c>
      <c r="O1" s="10" t="s">
        <v>50</v>
      </c>
    </row>
    <row r="2" spans="1:15" s="27" customFormat="1" ht="12.95" customHeight="1" x14ac:dyDescent="0.2">
      <c r="A2" s="27" t="s">
        <v>23</v>
      </c>
      <c r="B2" s="27" t="s">
        <v>50</v>
      </c>
      <c r="C2" s="28"/>
      <c r="D2" s="29"/>
    </row>
    <row r="3" spans="1:15" s="27" customFormat="1" ht="12.95" customHeight="1" thickBot="1" x14ac:dyDescent="0.25"/>
    <row r="4" spans="1:15" s="27" customFormat="1" ht="12.95" customHeight="1" thickTop="1" thickBot="1" x14ac:dyDescent="0.25">
      <c r="A4" s="30" t="s">
        <v>0</v>
      </c>
      <c r="C4" s="31">
        <v>25758.194</v>
      </c>
      <c r="D4" s="32">
        <v>1.706161</v>
      </c>
    </row>
    <row r="5" spans="1:15" s="27" customFormat="1" ht="12.95" customHeight="1" thickTop="1" x14ac:dyDescent="0.2">
      <c r="A5" s="33" t="s">
        <v>28</v>
      </c>
      <c r="C5" s="34">
        <v>-9.5</v>
      </c>
      <c r="D5" s="27" t="s">
        <v>29</v>
      </c>
    </row>
    <row r="6" spans="1:15" s="27" customFormat="1" ht="12.95" customHeight="1" x14ac:dyDescent="0.2">
      <c r="A6" s="30" t="s">
        <v>1</v>
      </c>
    </row>
    <row r="7" spans="1:15" s="27" customFormat="1" ht="12.95" customHeight="1" x14ac:dyDescent="0.2">
      <c r="A7" s="27" t="s">
        <v>2</v>
      </c>
      <c r="C7" s="58">
        <v>52500.633099999999</v>
      </c>
      <c r="D7" s="36" t="s">
        <v>51</v>
      </c>
    </row>
    <row r="8" spans="1:15" s="27" customFormat="1" ht="12.95" customHeight="1" x14ac:dyDescent="0.2">
      <c r="A8" s="27" t="s">
        <v>3</v>
      </c>
      <c r="C8" s="58">
        <v>1.7061453</v>
      </c>
      <c r="D8" s="36" t="s">
        <v>51</v>
      </c>
    </row>
    <row r="9" spans="1:15" s="27" customFormat="1" ht="12.95" customHeight="1" x14ac:dyDescent="0.2">
      <c r="A9" s="37" t="s">
        <v>32</v>
      </c>
      <c r="C9" s="38">
        <v>21</v>
      </c>
      <c r="D9" s="39" t="str">
        <f>"F"&amp;C9</f>
        <v>F21</v>
      </c>
      <c r="E9" s="40" t="str">
        <f>"G"&amp;C9</f>
        <v>G21</v>
      </c>
    </row>
    <row r="10" spans="1:15" s="27" customFormat="1" ht="12.95" customHeight="1" thickBot="1" x14ac:dyDescent="0.25">
      <c r="C10" s="41" t="s">
        <v>19</v>
      </c>
      <c r="D10" s="41" t="s">
        <v>20</v>
      </c>
    </row>
    <row r="11" spans="1:15" s="27" customFormat="1" ht="12.95" customHeight="1" x14ac:dyDescent="0.2">
      <c r="A11" s="27" t="s">
        <v>15</v>
      </c>
      <c r="C11" s="40">
        <f ca="1">INTERCEPT(INDIRECT($E$9):G992,INDIRECT($D$9):F992)</f>
        <v>2.3239947057457383E-2</v>
      </c>
      <c r="D11" s="29"/>
    </row>
    <row r="12" spans="1:15" s="27" customFormat="1" ht="12.95" customHeight="1" x14ac:dyDescent="0.2">
      <c r="A12" s="27" t="s">
        <v>16</v>
      </c>
      <c r="C12" s="40">
        <f ca="1">SLOPE(INDIRECT($E$9):G992,INDIRECT($D$9):F992)</f>
        <v>2.4281203286001321E-5</v>
      </c>
      <c r="D12" s="29"/>
    </row>
    <row r="13" spans="1:15" s="27" customFormat="1" ht="12.95" customHeight="1" x14ac:dyDescent="0.2">
      <c r="A13" s="27" t="s">
        <v>18</v>
      </c>
      <c r="C13" s="29" t="s">
        <v>13</v>
      </c>
    </row>
    <row r="14" spans="1:15" s="27" customFormat="1" ht="12.95" customHeight="1" x14ac:dyDescent="0.2"/>
    <row r="15" spans="1:15" s="27" customFormat="1" ht="12.95" customHeight="1" x14ac:dyDescent="0.2">
      <c r="A15" s="42" t="s">
        <v>17</v>
      </c>
      <c r="C15" s="43">
        <f ca="1">(C7+C11)+(C8+C12)*INT(MAX(F21:F3533))</f>
        <v>52500.656339947054</v>
      </c>
      <c r="E15" s="44" t="s">
        <v>34</v>
      </c>
      <c r="F15" s="45">
        <v>1</v>
      </c>
    </row>
    <row r="16" spans="1:15" s="27" customFormat="1" ht="12.95" customHeight="1" x14ac:dyDescent="0.2">
      <c r="A16" s="30" t="s">
        <v>4</v>
      </c>
      <c r="C16" s="46">
        <f ca="1">+C8+C12</f>
        <v>1.706169581203286</v>
      </c>
      <c r="E16" s="44" t="s">
        <v>30</v>
      </c>
      <c r="F16" s="46">
        <f ca="1">NOW()+15018.5+$C$5/24</f>
        <v>60373.779505439816</v>
      </c>
    </row>
    <row r="17" spans="1:18" s="27" customFormat="1" ht="12.95" customHeight="1" thickBot="1" x14ac:dyDescent="0.25">
      <c r="A17" s="44" t="s">
        <v>27</v>
      </c>
      <c r="C17" s="27">
        <f>COUNT(C21:C2191)</f>
        <v>8</v>
      </c>
      <c r="E17" s="44" t="s">
        <v>35</v>
      </c>
      <c r="F17" s="47">
        <f ca="1">ROUND(2*(F16-$C$7)/$C$8,0)/2+F15</f>
        <v>4615.5</v>
      </c>
    </row>
    <row r="18" spans="1:18" s="27" customFormat="1" ht="12.95" customHeight="1" thickTop="1" thickBot="1" x14ac:dyDescent="0.25">
      <c r="A18" s="30" t="s">
        <v>5</v>
      </c>
      <c r="C18" s="48">
        <f ca="1">+C15</f>
        <v>52500.656339947054</v>
      </c>
      <c r="D18" s="49">
        <f ca="1">+C16</f>
        <v>1.706169581203286</v>
      </c>
      <c r="E18" s="44" t="s">
        <v>36</v>
      </c>
      <c r="F18" s="40">
        <f ca="1">ROUND(2*(F16-$C$15)/$C$16,0)/2+F15</f>
        <v>4615.5</v>
      </c>
    </row>
    <row r="19" spans="1:18" s="27" customFormat="1" ht="12.95" customHeight="1" thickTop="1" x14ac:dyDescent="0.2">
      <c r="E19" s="44" t="s">
        <v>31</v>
      </c>
      <c r="F19" s="50">
        <f ca="1">+$C$15+$C$16*F18-15018.5-$C$5/24</f>
        <v>45357.377875324157</v>
      </c>
    </row>
    <row r="20" spans="1:18" s="27" customFormat="1" ht="12.95" customHeight="1" thickBot="1" x14ac:dyDescent="0.25">
      <c r="A20" s="41" t="s">
        <v>6</v>
      </c>
      <c r="B20" s="41" t="s">
        <v>7</v>
      </c>
      <c r="C20" s="41" t="s">
        <v>8</v>
      </c>
      <c r="D20" s="41" t="s">
        <v>12</v>
      </c>
      <c r="E20" s="41" t="s">
        <v>9</v>
      </c>
      <c r="F20" s="41" t="s">
        <v>10</v>
      </c>
      <c r="G20" s="41" t="s">
        <v>11</v>
      </c>
      <c r="H20" s="51" t="s">
        <v>37</v>
      </c>
      <c r="I20" s="51" t="s">
        <v>38</v>
      </c>
      <c r="J20" s="51" t="s">
        <v>39</v>
      </c>
      <c r="K20" s="51" t="s">
        <v>40</v>
      </c>
      <c r="L20" s="51" t="s">
        <v>24</v>
      </c>
      <c r="M20" s="51" t="s">
        <v>25</v>
      </c>
      <c r="N20" s="51" t="s">
        <v>26</v>
      </c>
      <c r="O20" s="51" t="s">
        <v>22</v>
      </c>
      <c r="P20" s="52" t="s">
        <v>21</v>
      </c>
      <c r="Q20" s="41" t="s">
        <v>14</v>
      </c>
      <c r="R20" s="53" t="s">
        <v>33</v>
      </c>
    </row>
    <row r="21" spans="1:18" s="27" customFormat="1" ht="12.95" customHeight="1" x14ac:dyDescent="0.2">
      <c r="A21" s="54" t="s">
        <v>57</v>
      </c>
      <c r="B21" s="55" t="s">
        <v>82</v>
      </c>
      <c r="C21" s="56">
        <v>25758.194</v>
      </c>
      <c r="D21" s="35"/>
      <c r="E21" s="27">
        <f t="shared" ref="E21:E28" si="0">+(C21-C$7)/C$8</f>
        <v>-15674.186190355535</v>
      </c>
      <c r="F21" s="27">
        <f t="shared" ref="F21:F28" si="1">ROUND(2*E21,0)/2</f>
        <v>-15674</v>
      </c>
      <c r="G21" s="27">
        <f t="shared" ref="G21:G28" si="2">+C21-(C$7+F21*C$8)</f>
        <v>-0.31766779999816208</v>
      </c>
      <c r="H21" s="27">
        <f t="shared" ref="H21:H28" si="3">+G21</f>
        <v>-0.31766779999816208</v>
      </c>
      <c r="O21" s="27">
        <f t="shared" ref="O21:O28" ca="1" si="4">+C$11+C$12*$F21</f>
        <v>-0.35734363324732732</v>
      </c>
      <c r="Q21" s="57">
        <f t="shared" ref="Q21:Q28" si="5">+C21-15018.5</f>
        <v>10739.694</v>
      </c>
    </row>
    <row r="22" spans="1:18" s="27" customFormat="1" ht="12.95" customHeight="1" x14ac:dyDescent="0.2">
      <c r="A22" s="54" t="s">
        <v>63</v>
      </c>
      <c r="B22" s="55" t="s">
        <v>82</v>
      </c>
      <c r="C22" s="56">
        <v>29339.316999999999</v>
      </c>
      <c r="D22" s="35"/>
      <c r="E22" s="27">
        <f t="shared" si="0"/>
        <v>-13575.230726245883</v>
      </c>
      <c r="F22" s="27">
        <f t="shared" si="1"/>
        <v>-13575</v>
      </c>
      <c r="G22" s="27">
        <f t="shared" si="2"/>
        <v>-0.39365249999900698</v>
      </c>
      <c r="H22" s="27">
        <f t="shared" si="3"/>
        <v>-0.39365249999900698</v>
      </c>
      <c r="O22" s="27">
        <f t="shared" ca="1" si="4"/>
        <v>-0.30637738755001054</v>
      </c>
      <c r="Q22" s="57">
        <f t="shared" si="5"/>
        <v>14320.816999999999</v>
      </c>
    </row>
    <row r="23" spans="1:18" s="27" customFormat="1" ht="12.95" customHeight="1" x14ac:dyDescent="0.2">
      <c r="A23" s="54" t="s">
        <v>63</v>
      </c>
      <c r="B23" s="55" t="s">
        <v>82</v>
      </c>
      <c r="C23" s="56">
        <v>29670.438999999998</v>
      </c>
      <c r="D23" s="35"/>
      <c r="E23" s="27">
        <f t="shared" si="0"/>
        <v>-13381.154641401292</v>
      </c>
      <c r="F23" s="27">
        <f t="shared" si="1"/>
        <v>-13381</v>
      </c>
      <c r="G23" s="27">
        <f t="shared" si="2"/>
        <v>-0.26384070000131032</v>
      </c>
      <c r="H23" s="27">
        <f t="shared" si="3"/>
        <v>-0.26384070000131032</v>
      </c>
      <c r="O23" s="27">
        <f t="shared" ca="1" si="4"/>
        <v>-0.30166683411252626</v>
      </c>
      <c r="Q23" s="57">
        <f t="shared" si="5"/>
        <v>14651.938999999998</v>
      </c>
    </row>
    <row r="24" spans="1:18" x14ac:dyDescent="0.2">
      <c r="A24" s="24" t="s">
        <v>72</v>
      </c>
      <c r="B24" s="26" t="s">
        <v>82</v>
      </c>
      <c r="C24" s="25">
        <v>49402.271999999997</v>
      </c>
      <c r="D24" s="4"/>
      <c r="E24">
        <f t="shared" si="0"/>
        <v>-1816.0007239711658</v>
      </c>
      <c r="F24">
        <f t="shared" si="1"/>
        <v>-1816</v>
      </c>
      <c r="G24">
        <f t="shared" si="2"/>
        <v>-1.2352000048849732E-3</v>
      </c>
      <c r="H24">
        <f t="shared" si="3"/>
        <v>-1.2352000048849732E-3</v>
      </c>
      <c r="O24">
        <f t="shared" ca="1" si="4"/>
        <v>-2.0854718109921018E-2</v>
      </c>
      <c r="Q24" s="2">
        <f t="shared" si="5"/>
        <v>34383.771999999997</v>
      </c>
    </row>
    <row r="25" spans="1:18" x14ac:dyDescent="0.2">
      <c r="A25" s="24" t="s">
        <v>72</v>
      </c>
      <c r="B25" s="26" t="s">
        <v>82</v>
      </c>
      <c r="C25" s="25">
        <v>49765.677000000003</v>
      </c>
      <c r="D25" s="4"/>
      <c r="E25">
        <f t="shared" si="0"/>
        <v>-1603.0030384868135</v>
      </c>
      <c r="F25">
        <f t="shared" si="1"/>
        <v>-1603</v>
      </c>
      <c r="G25">
        <f t="shared" si="2"/>
        <v>-5.1840999949490651E-3</v>
      </c>
      <c r="H25">
        <f t="shared" si="3"/>
        <v>-5.1840999949490651E-3</v>
      </c>
      <c r="O25">
        <f t="shared" ca="1" si="4"/>
        <v>-1.5682821810002731E-2</v>
      </c>
      <c r="Q25" s="2">
        <f t="shared" si="5"/>
        <v>34747.177000000003</v>
      </c>
    </row>
    <row r="26" spans="1:18" x14ac:dyDescent="0.2">
      <c r="A26" s="24" t="s">
        <v>72</v>
      </c>
      <c r="B26" s="26" t="s">
        <v>82</v>
      </c>
      <c r="C26" s="25">
        <v>50898.574000000001</v>
      </c>
      <c r="D26" s="4"/>
      <c r="E26">
        <f t="shared" si="0"/>
        <v>-938.99335537248714</v>
      </c>
      <c r="F26">
        <f t="shared" si="1"/>
        <v>-939</v>
      </c>
      <c r="G26">
        <f t="shared" si="2"/>
        <v>1.1336700001265854E-2</v>
      </c>
      <c r="H26">
        <f t="shared" si="3"/>
        <v>1.1336700001265854E-2</v>
      </c>
      <c r="O26">
        <f t="shared" ca="1" si="4"/>
        <v>4.3989717190214342E-4</v>
      </c>
      <c r="Q26" s="2">
        <f t="shared" si="5"/>
        <v>35880.074000000001</v>
      </c>
    </row>
    <row r="27" spans="1:18" x14ac:dyDescent="0.2">
      <c r="A27" s="24" t="s">
        <v>72</v>
      </c>
      <c r="B27" s="26" t="s">
        <v>82</v>
      </c>
      <c r="C27" s="25">
        <v>51229.552000000003</v>
      </c>
      <c r="D27" s="4"/>
      <c r="E27">
        <f t="shared" si="0"/>
        <v>-745.00167131134481</v>
      </c>
      <c r="F27">
        <f t="shared" si="1"/>
        <v>-745</v>
      </c>
      <c r="G27">
        <f t="shared" si="2"/>
        <v>-2.8514999939943664E-3</v>
      </c>
      <c r="H27">
        <f t="shared" si="3"/>
        <v>-2.8514999939943664E-3</v>
      </c>
      <c r="O27">
        <f t="shared" ca="1" si="4"/>
        <v>5.1504506093863998E-3</v>
      </c>
      <c r="Q27" s="2">
        <f t="shared" si="5"/>
        <v>36211.052000000003</v>
      </c>
    </row>
    <row r="28" spans="1:18" x14ac:dyDescent="0.2">
      <c r="A28" t="s">
        <v>51</v>
      </c>
      <c r="C28" s="4">
        <v>52500.633099999999</v>
      </c>
      <c r="D28" s="4" t="s">
        <v>13</v>
      </c>
      <c r="E28">
        <f t="shared" si="0"/>
        <v>0</v>
      </c>
      <c r="F28">
        <f t="shared" si="1"/>
        <v>0</v>
      </c>
      <c r="G28">
        <f t="shared" si="2"/>
        <v>0</v>
      </c>
      <c r="H28">
        <f t="shared" si="3"/>
        <v>0</v>
      </c>
      <c r="O28">
        <f t="shared" ca="1" si="4"/>
        <v>2.3239947057457383E-2</v>
      </c>
      <c r="Q28" s="2">
        <f t="shared" si="5"/>
        <v>37482.133099999999</v>
      </c>
    </row>
    <row r="29" spans="1:18" x14ac:dyDescent="0.2">
      <c r="C29" s="4"/>
      <c r="D29" s="4"/>
      <c r="Q29" s="2"/>
    </row>
    <row r="30" spans="1:18" x14ac:dyDescent="0.2">
      <c r="C30" s="4"/>
      <c r="D30" s="4"/>
      <c r="Q30" s="2"/>
    </row>
    <row r="31" spans="1:18" x14ac:dyDescent="0.2">
      <c r="C31" s="4"/>
      <c r="D31" s="4"/>
      <c r="Q31" s="2"/>
    </row>
    <row r="32" spans="1:18" x14ac:dyDescent="0.2">
      <c r="C32" s="4"/>
      <c r="D32" s="4"/>
      <c r="Q32" s="2"/>
    </row>
    <row r="33" spans="3:17" x14ac:dyDescent="0.2">
      <c r="C33" s="4"/>
      <c r="D33" s="4"/>
      <c r="Q33" s="2"/>
    </row>
    <row r="34" spans="3:17" x14ac:dyDescent="0.2">
      <c r="C34" s="4"/>
      <c r="D34" s="4"/>
    </row>
    <row r="35" spans="3:17" x14ac:dyDescent="0.2">
      <c r="C35" s="4"/>
      <c r="D35" s="4"/>
    </row>
    <row r="36" spans="3:17" x14ac:dyDescent="0.2">
      <c r="C36" s="4"/>
      <c r="D36" s="4"/>
    </row>
    <row r="37" spans="3:17" x14ac:dyDescent="0.2">
      <c r="C37" s="4"/>
      <c r="D37" s="4"/>
    </row>
    <row r="38" spans="3:17" x14ac:dyDescent="0.2">
      <c r="C38" s="4"/>
      <c r="D38" s="4"/>
    </row>
    <row r="39" spans="3:17" x14ac:dyDescent="0.2">
      <c r="C39" s="4"/>
      <c r="D39" s="4"/>
    </row>
    <row r="40" spans="3:17" x14ac:dyDescent="0.2">
      <c r="C40" s="4"/>
      <c r="D40" s="4"/>
    </row>
    <row r="41" spans="3:17" x14ac:dyDescent="0.2">
      <c r="C41" s="4"/>
      <c r="D41" s="4"/>
    </row>
    <row r="42" spans="3:17" x14ac:dyDescent="0.2">
      <c r="C42" s="4"/>
      <c r="D42" s="4"/>
    </row>
    <row r="43" spans="3:17" x14ac:dyDescent="0.2">
      <c r="C43" s="4"/>
      <c r="D43" s="4"/>
    </row>
    <row r="44" spans="3:17" x14ac:dyDescent="0.2">
      <c r="C44" s="4"/>
      <c r="D44" s="4"/>
    </row>
    <row r="45" spans="3:17" x14ac:dyDescent="0.2">
      <c r="C45" s="4"/>
      <c r="D45" s="4"/>
    </row>
    <row r="46" spans="3:17" x14ac:dyDescent="0.2">
      <c r="C46" s="4"/>
      <c r="D46" s="4"/>
    </row>
    <row r="47" spans="3:17" x14ac:dyDescent="0.2">
      <c r="C47" s="4"/>
      <c r="D47" s="4"/>
    </row>
    <row r="48" spans="3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8"/>
  <sheetViews>
    <sheetView workbookViewId="0">
      <selection activeCell="A11" sqref="A11:C17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1" t="s">
        <v>41</v>
      </c>
      <c r="I1" s="12" t="s">
        <v>42</v>
      </c>
      <c r="J1" s="13" t="s">
        <v>40</v>
      </c>
    </row>
    <row r="2" spans="1:16" x14ac:dyDescent="0.2">
      <c r="I2" s="14" t="s">
        <v>43</v>
      </c>
      <c r="J2" s="15" t="s">
        <v>39</v>
      </c>
    </row>
    <row r="3" spans="1:16" x14ac:dyDescent="0.2">
      <c r="A3" s="16" t="s">
        <v>44</v>
      </c>
      <c r="I3" s="14" t="s">
        <v>45</v>
      </c>
      <c r="J3" s="15" t="s">
        <v>37</v>
      </c>
    </row>
    <row r="4" spans="1:16" x14ac:dyDescent="0.2">
      <c r="I4" s="14" t="s">
        <v>46</v>
      </c>
      <c r="J4" s="15" t="s">
        <v>37</v>
      </c>
    </row>
    <row r="5" spans="1:16" ht="13.5" thickBot="1" x14ac:dyDescent="0.25">
      <c r="I5" s="17" t="s">
        <v>47</v>
      </c>
      <c r="J5" s="18" t="s">
        <v>38</v>
      </c>
    </row>
    <row r="10" spans="1:16" ht="13.5" thickBot="1" x14ac:dyDescent="0.25"/>
    <row r="11" spans="1:16" ht="12.75" customHeight="1" thickBot="1" x14ac:dyDescent="0.25">
      <c r="A11" s="4" t="str">
        <f t="shared" ref="A11:A17" si="0">P11</f>
        <v> BAN 10.260 </v>
      </c>
      <c r="B11" s="3" t="str">
        <f t="shared" ref="B11:B17" si="1">IF(H11=INT(H11),"I","II")</f>
        <v>I</v>
      </c>
      <c r="C11" s="4">
        <f t="shared" ref="C11:C17" si="2">1*G11</f>
        <v>25758.194</v>
      </c>
      <c r="D11" s="5" t="str">
        <f t="shared" ref="D11:D17" si="3">VLOOKUP(F11,I$1:J$5,2,FALSE)</f>
        <v>vis</v>
      </c>
      <c r="E11" s="19">
        <f>VLOOKUP(C11,Active!C$21:E$973,3,FALSE)</f>
        <v>-15674.186190355535</v>
      </c>
      <c r="F11" s="3" t="s">
        <v>47</v>
      </c>
      <c r="G11" s="5" t="str">
        <f t="shared" ref="G11:G17" si="4">MID(I11,3,LEN(I11)-3)</f>
        <v>25758.194</v>
      </c>
      <c r="H11" s="4">
        <f t="shared" ref="H11:H17" si="5">1*K11</f>
        <v>0</v>
      </c>
      <c r="I11" s="20" t="s">
        <v>53</v>
      </c>
      <c r="J11" s="21" t="s">
        <v>54</v>
      </c>
      <c r="K11" s="20">
        <v>0</v>
      </c>
      <c r="L11" s="20" t="s">
        <v>55</v>
      </c>
      <c r="M11" s="21" t="s">
        <v>48</v>
      </c>
      <c r="N11" s="21"/>
      <c r="O11" s="22" t="s">
        <v>56</v>
      </c>
      <c r="P11" s="22" t="s">
        <v>57</v>
      </c>
    </row>
    <row r="12" spans="1:16" ht="12.75" customHeight="1" thickBot="1" x14ac:dyDescent="0.25">
      <c r="A12" s="4" t="str">
        <f t="shared" si="0"/>
        <v> MVS 189 </v>
      </c>
      <c r="B12" s="3" t="str">
        <f t="shared" si="1"/>
        <v>I</v>
      </c>
      <c r="C12" s="4">
        <f t="shared" si="2"/>
        <v>29339.316999999999</v>
      </c>
      <c r="D12" s="5" t="str">
        <f t="shared" si="3"/>
        <v>vis</v>
      </c>
      <c r="E12" s="19">
        <f>VLOOKUP(C12,Active!C$21:E$973,3,FALSE)</f>
        <v>-13575.230726245883</v>
      </c>
      <c r="F12" s="3" t="s">
        <v>47</v>
      </c>
      <c r="G12" s="5" t="str">
        <f t="shared" si="4"/>
        <v>29339.317</v>
      </c>
      <c r="H12" s="4">
        <f t="shared" si="5"/>
        <v>2099</v>
      </c>
      <c r="I12" s="20" t="s">
        <v>58</v>
      </c>
      <c r="J12" s="21" t="s">
        <v>59</v>
      </c>
      <c r="K12" s="20">
        <v>2099</v>
      </c>
      <c r="L12" s="20" t="s">
        <v>60</v>
      </c>
      <c r="M12" s="21" t="s">
        <v>61</v>
      </c>
      <c r="N12" s="21"/>
      <c r="O12" s="22" t="s">
        <v>62</v>
      </c>
      <c r="P12" s="22" t="s">
        <v>63</v>
      </c>
    </row>
    <row r="13" spans="1:16" ht="12.75" customHeight="1" thickBot="1" x14ac:dyDescent="0.25">
      <c r="A13" s="4" t="str">
        <f t="shared" si="0"/>
        <v> MVS 189 </v>
      </c>
      <c r="B13" s="3" t="str">
        <f t="shared" si="1"/>
        <v>I</v>
      </c>
      <c r="C13" s="4">
        <f t="shared" si="2"/>
        <v>29670.438999999998</v>
      </c>
      <c r="D13" s="5" t="str">
        <f t="shared" si="3"/>
        <v>vis</v>
      </c>
      <c r="E13" s="19">
        <f>VLOOKUP(C13,Active!C$21:E$973,3,FALSE)</f>
        <v>-13381.154641401292</v>
      </c>
      <c r="F13" s="3" t="s">
        <v>47</v>
      </c>
      <c r="G13" s="5" t="str">
        <f t="shared" si="4"/>
        <v>29670.439</v>
      </c>
      <c r="H13" s="4">
        <f t="shared" si="5"/>
        <v>2293</v>
      </c>
      <c r="I13" s="20" t="s">
        <v>64</v>
      </c>
      <c r="J13" s="21" t="s">
        <v>65</v>
      </c>
      <c r="K13" s="20">
        <v>2293</v>
      </c>
      <c r="L13" s="20" t="s">
        <v>66</v>
      </c>
      <c r="M13" s="21" t="s">
        <v>61</v>
      </c>
      <c r="N13" s="21"/>
      <c r="O13" s="22" t="s">
        <v>62</v>
      </c>
      <c r="P13" s="22" t="s">
        <v>63</v>
      </c>
    </row>
    <row r="14" spans="1:16" ht="12.75" customHeight="1" thickBot="1" x14ac:dyDescent="0.25">
      <c r="A14" s="4" t="str">
        <f t="shared" si="0"/>
        <v> AOEB 12 </v>
      </c>
      <c r="B14" s="3" t="str">
        <f t="shared" si="1"/>
        <v>I</v>
      </c>
      <c r="C14" s="4">
        <f t="shared" si="2"/>
        <v>49402.271999999997</v>
      </c>
      <c r="D14" s="5" t="str">
        <f t="shared" si="3"/>
        <v>vis</v>
      </c>
      <c r="E14" s="19">
        <f>VLOOKUP(C14,Active!C$21:E$973,3,FALSE)</f>
        <v>-1816.0007239711658</v>
      </c>
      <c r="F14" s="3" t="s">
        <v>47</v>
      </c>
      <c r="G14" s="5" t="str">
        <f t="shared" si="4"/>
        <v>49402.272</v>
      </c>
      <c r="H14" s="4">
        <f t="shared" si="5"/>
        <v>13858</v>
      </c>
      <c r="I14" s="20" t="s">
        <v>67</v>
      </c>
      <c r="J14" s="21" t="s">
        <v>68</v>
      </c>
      <c r="K14" s="20">
        <v>13858</v>
      </c>
      <c r="L14" s="20" t="s">
        <v>69</v>
      </c>
      <c r="M14" s="21" t="s">
        <v>70</v>
      </c>
      <c r="N14" s="21"/>
      <c r="O14" s="22" t="s">
        <v>71</v>
      </c>
      <c r="P14" s="22" t="s">
        <v>72</v>
      </c>
    </row>
    <row r="15" spans="1:16" ht="12.75" customHeight="1" thickBot="1" x14ac:dyDescent="0.25">
      <c r="A15" s="4" t="str">
        <f t="shared" si="0"/>
        <v> AOEB 12 </v>
      </c>
      <c r="B15" s="3" t="str">
        <f t="shared" si="1"/>
        <v>I</v>
      </c>
      <c r="C15" s="4">
        <f t="shared" si="2"/>
        <v>49765.677000000003</v>
      </c>
      <c r="D15" s="5" t="str">
        <f t="shared" si="3"/>
        <v>vis</v>
      </c>
      <c r="E15" s="19">
        <f>VLOOKUP(C15,Active!C$21:E$973,3,FALSE)</f>
        <v>-1603.0030384868135</v>
      </c>
      <c r="F15" s="3" t="s">
        <v>47</v>
      </c>
      <c r="G15" s="5" t="str">
        <f t="shared" si="4"/>
        <v>49765.677</v>
      </c>
      <c r="H15" s="4">
        <f t="shared" si="5"/>
        <v>14071</v>
      </c>
      <c r="I15" s="20" t="s">
        <v>73</v>
      </c>
      <c r="J15" s="21" t="s">
        <v>74</v>
      </c>
      <c r="K15" s="20">
        <v>14071</v>
      </c>
      <c r="L15" s="20" t="s">
        <v>75</v>
      </c>
      <c r="M15" s="21" t="s">
        <v>70</v>
      </c>
      <c r="N15" s="21"/>
      <c r="O15" s="22" t="s">
        <v>71</v>
      </c>
      <c r="P15" s="22" t="s">
        <v>72</v>
      </c>
    </row>
    <row r="16" spans="1:16" ht="12.75" customHeight="1" thickBot="1" x14ac:dyDescent="0.25">
      <c r="A16" s="4" t="str">
        <f t="shared" si="0"/>
        <v> AOEB 12 </v>
      </c>
      <c r="B16" s="3" t="str">
        <f t="shared" si="1"/>
        <v>I</v>
      </c>
      <c r="C16" s="4">
        <f t="shared" si="2"/>
        <v>50898.574000000001</v>
      </c>
      <c r="D16" s="5" t="str">
        <f t="shared" si="3"/>
        <v>vis</v>
      </c>
      <c r="E16" s="19">
        <f>VLOOKUP(C16,Active!C$21:E$973,3,FALSE)</f>
        <v>-938.99335537248714</v>
      </c>
      <c r="F16" s="3" t="s">
        <v>47</v>
      </c>
      <c r="G16" s="5" t="str">
        <f t="shared" si="4"/>
        <v>50898.574</v>
      </c>
      <c r="H16" s="4">
        <f t="shared" si="5"/>
        <v>14735</v>
      </c>
      <c r="I16" s="20" t="s">
        <v>76</v>
      </c>
      <c r="J16" s="21" t="s">
        <v>77</v>
      </c>
      <c r="K16" s="20">
        <v>14735</v>
      </c>
      <c r="L16" s="20" t="s">
        <v>78</v>
      </c>
      <c r="M16" s="21" t="s">
        <v>70</v>
      </c>
      <c r="N16" s="21"/>
      <c r="O16" s="22" t="s">
        <v>71</v>
      </c>
      <c r="P16" s="22" t="s">
        <v>72</v>
      </c>
    </row>
    <row r="17" spans="1:16" ht="12.75" customHeight="1" thickBot="1" x14ac:dyDescent="0.25">
      <c r="A17" s="4" t="str">
        <f t="shared" si="0"/>
        <v> AOEB 12 </v>
      </c>
      <c r="B17" s="3" t="str">
        <f t="shared" si="1"/>
        <v>I</v>
      </c>
      <c r="C17" s="4">
        <f t="shared" si="2"/>
        <v>51229.552000000003</v>
      </c>
      <c r="D17" s="5" t="str">
        <f t="shared" si="3"/>
        <v>vis</v>
      </c>
      <c r="E17" s="19">
        <f>VLOOKUP(C17,Active!C$21:E$973,3,FALSE)</f>
        <v>-745.00167131134481</v>
      </c>
      <c r="F17" s="3" t="s">
        <v>47</v>
      </c>
      <c r="G17" s="5" t="str">
        <f t="shared" si="4"/>
        <v>51229.552</v>
      </c>
      <c r="H17" s="4">
        <f t="shared" si="5"/>
        <v>14929</v>
      </c>
      <c r="I17" s="20" t="s">
        <v>79</v>
      </c>
      <c r="J17" s="21" t="s">
        <v>80</v>
      </c>
      <c r="K17" s="20">
        <v>14929</v>
      </c>
      <c r="L17" s="20" t="s">
        <v>81</v>
      </c>
      <c r="M17" s="21" t="s">
        <v>70</v>
      </c>
      <c r="N17" s="21"/>
      <c r="O17" s="22" t="s">
        <v>71</v>
      </c>
      <c r="P17" s="22" t="s">
        <v>72</v>
      </c>
    </row>
    <row r="18" spans="1:16" x14ac:dyDescent="0.2">
      <c r="B18" s="3"/>
      <c r="E18" s="19"/>
      <c r="F18" s="3"/>
    </row>
    <row r="19" spans="1:16" x14ac:dyDescent="0.2">
      <c r="B19" s="3"/>
      <c r="E19" s="19"/>
      <c r="F19" s="3"/>
    </row>
    <row r="20" spans="1:16" x14ac:dyDescent="0.2">
      <c r="B20" s="3"/>
      <c r="E20" s="19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2024-03-04T05:42:29Z</dcterms:modified>
</cp:coreProperties>
</file>