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DFBF24-B25F-42DB-9EA7-D01F859647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B2" i="1" l="1"/>
  <c r="C4" i="1"/>
  <c r="C7" i="1"/>
  <c r="D4" i="1"/>
  <c r="C8" i="1"/>
  <c r="C9" i="1"/>
  <c r="D9" i="1"/>
  <c r="F16" i="1"/>
  <c r="F17" i="1" s="1"/>
  <c r="Q21" i="1"/>
  <c r="Q23" i="1"/>
  <c r="Q24" i="1"/>
  <c r="Q25" i="1"/>
  <c r="Q26" i="1"/>
  <c r="Q27" i="1"/>
  <c r="Q28" i="1"/>
  <c r="A11" i="2"/>
  <c r="B11" i="2"/>
  <c r="C11" i="2"/>
  <c r="D11" i="2"/>
  <c r="G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C22" i="1"/>
  <c r="E26" i="1"/>
  <c r="F26" i="1"/>
  <c r="G26" i="1"/>
  <c r="K26" i="1"/>
  <c r="G27" i="1"/>
  <c r="K27" i="1"/>
  <c r="E21" i="1"/>
  <c r="F21" i="1"/>
  <c r="G21" i="1"/>
  <c r="I21" i="1"/>
  <c r="E25" i="1"/>
  <c r="F25" i="1"/>
  <c r="E24" i="1"/>
  <c r="F24" i="1"/>
  <c r="G25" i="1"/>
  <c r="K25" i="1"/>
  <c r="E28" i="1"/>
  <c r="F28" i="1"/>
  <c r="G28" i="1"/>
  <c r="K28" i="1"/>
  <c r="E23" i="1"/>
  <c r="F23" i="1"/>
  <c r="G23" i="1"/>
  <c r="K23" i="1"/>
  <c r="G24" i="1"/>
  <c r="E27" i="1"/>
  <c r="F27" i="1"/>
  <c r="E13" i="2"/>
  <c r="E11" i="2"/>
  <c r="E12" i="2"/>
  <c r="E22" i="1"/>
  <c r="F22" i="1"/>
  <c r="G22" i="1"/>
  <c r="I22" i="1"/>
  <c r="C17" i="1"/>
  <c r="Q22" i="1"/>
  <c r="K24" i="1"/>
  <c r="C11" i="1"/>
  <c r="C12" i="1"/>
  <c r="C16" i="1" l="1"/>
  <c r="D18" i="1" s="1"/>
  <c r="C15" i="1"/>
  <c r="O25" i="1"/>
  <c r="O22" i="1"/>
  <c r="O24" i="1"/>
  <c r="O28" i="1"/>
  <c r="O27" i="1"/>
  <c r="O23" i="1"/>
  <c r="O26" i="1"/>
  <c r="O21" i="1"/>
  <c r="C18" i="1" l="1"/>
  <c r="F18" i="1"/>
  <c r="F19" i="1" s="1"/>
</calcChain>
</file>

<file path=xl/sharedStrings.xml><?xml version="1.0" encoding="utf-8"?>
<sst xmlns="http://schemas.openxmlformats.org/spreadsheetml/2006/main" count="93" uniqueCount="72">
  <si>
    <t xml:space="preserve">DS Pup / GSC 6543-1210               </t>
  </si>
  <si>
    <t xml:space="preserve">EW/KW     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</si>
  <si>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</si>
  <si>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</si>
  <si>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</si>
  <si>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</si>
  <si>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</si>
  <si>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</si>
  <si>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</si>
  <si>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</si>
  <si>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</si>
  <si>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</si>
  <si>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</si>
  <si>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</si>
  <si>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</si>
  <si>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</si>
  <si>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</si>
  <si>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</si>
  <si>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</si>
  <si>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</si>
  <si>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</si>
  <si>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</si>
  <si>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</si>
  <si>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</si>
  <si>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</si>
  <si>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</si>
  <si>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</si>
  <si>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</si>
  <si>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</si>
  <si>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</si>
  <si>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</si>
  <si>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</si>
  <si>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</si>
  <si>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</si>
  <si>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</si>
  <si>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</si>
  <si>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</si>
  <si>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</si>
  <si>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</si>
  <si>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</si>
  <si>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</si>
  <si>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</si>
  <si>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2013JAVSO..41..122</t>
  </si>
  <si>
    <t>II</t>
  </si>
  <si>
    <t>Kreiner</t>
  </si>
  <si>
    <t>I</t>
  </si>
  <si>
    <t>IBVS 5502</t>
  </si>
  <si>
    <t>Pavlov 2015, pc</t>
  </si>
  <si>
    <t>JAVSO..44…26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</si>
  <si>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</si>
  <si>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</si>
  <si>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</si>
  <si>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</si>
  <si>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</si>
  <si>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</si>
  <si>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</si>
  <si>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2451247.281 </t>
  </si>
  <si>
    <t> 09.03.1999 18:44 </t>
  </si>
  <si>
    <t> 0.072 </t>
  </si>
  <si>
    <t>V </t>
  </si>
  <si>
    <t> H.Lund </t>
  </si>
  <si>
    <t> JAAVSO 41;122 </t>
  </si>
  <si>
    <t>2452991.8610 </t>
  </si>
  <si>
    <t> 18.12.2003 08:39 </t>
  </si>
  <si>
    <t> 0.0783 </t>
  </si>
  <si>
    <t>E </t>
  </si>
  <si>
    <t>?</t>
  </si>
  <si>
    <t> S.Dvorak </t>
  </si>
  <si>
    <t>IBVS 5502 </t>
  </si>
  <si>
    <t>2453000.8011 </t>
  </si>
  <si>
    <t> 27.12.2003 07:13 </t>
  </si>
  <si>
    <t> 0.0789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</si>
</sst>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name val="Calibri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</cellStyleXfs>
  <cellXfs count="5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8" fillId="2" borderId="10" xfId="0" applyFont="1" applyFill="1" applyBorder="1" applyAlignment="1">
      <alignment horizontal="left" vertical="top" wrapText="1" inden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right" vertical="top" wrapText="1"/>
    </xf>
    <xf numFmtId="0" fontId="14" fillId="2" borderId="10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DS Pup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Active!$H$21:$H$280</c:f>
              <c:numCache>
                <c:formatCode>General</c:formatCode>
                <c:ptCount val="2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0-4921-9083-36424CBCCB6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Active!$I$21:$I$280</c:f>
              <c:numCache>
                <c:formatCode>General</c:formatCode>
                <c:ptCount val="260"/>
                <c:pt idx="0">
                  <c:v>-1.0142800019821152E-3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0-4921-9083-36424CBCCB6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Active!$J$21:$J$280</c:f>
              <c:numCache>
                <c:formatCode>General</c:formatCode>
                <c:ptCount val="2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60-4921-9083-36424CBCCB6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Active!$K$21:$K$280</c:f>
              <c:numCache>
                <c:formatCode>General</c:formatCode>
                <c:ptCount val="260"/>
                <c:pt idx="2">
                  <c:v>-6.2800005252938718E-5</c:v>
                </c:pt>
                <c:pt idx="3">
                  <c:v>4.5423999836202711E-4</c:v>
                </c:pt>
                <c:pt idx="4">
                  <c:v>-1.6601160001300741E-2</c:v>
                </c:pt>
                <c:pt idx="5">
                  <c:v>-1.6601160001300741E-2</c:v>
                </c:pt>
                <c:pt idx="6">
                  <c:v>-1.6654720006044954E-2</c:v>
                </c:pt>
                <c:pt idx="7">
                  <c:v>-1.6601160146819893E-2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60-4921-9083-36424CBCCB6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Active!$L$21:$L$280</c:f>
              <c:numCache>
                <c:formatCode>General</c:formatCode>
                <c:ptCount val="2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60-4921-9083-36424CBCCB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Active!$M$21:$M$280</c:f>
              <c:numCache>
                <c:formatCode>General</c:formatCode>
                <c:ptCount val="2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60-4921-9083-36424CBCCB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Active!$N$21:$N$280</c:f>
              <c:numCache>
                <c:formatCode>General</c:formatCode>
                <c:ptCount val="2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60-4921-9083-36424CBCCB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Active!$F$21:$F$280</c:f>
              <c:numCache>
                <c:formatCode>General</c:formatCode>
                <c:ptCount val="260"/>
                <c:pt idx="0">
                  <c:v>-3223.5</c:v>
                </c:pt>
                <c:pt idx="1">
                  <c:v>0</c:v>
                </c:pt>
                <c:pt idx="2">
                  <c:v>1265</c:v>
                </c:pt>
                <c:pt idx="3">
                  <c:v>1288</c:v>
                </c:pt>
                <c:pt idx="4">
                  <c:v>11870.5</c:v>
                </c:pt>
                <c:pt idx="5">
                  <c:v>11870.5</c:v>
                </c:pt>
                <c:pt idx="6">
                  <c:v>11986</c:v>
                </c:pt>
                <c:pt idx="7">
                  <c:v>11870.5</c:v>
                </c:pt>
              </c:numCache>
            </c:numRef>
          </c:xVal>
          <c:yVal>
            <c:numRef>
              <c:f>Active!$O$21:$O$280</c:f>
              <c:numCache>
                <c:formatCode>General</c:formatCode>
                <c:ptCount val="260"/>
                <c:pt idx="0">
                  <c:v>7.7095021003885855E-3</c:v>
                </c:pt>
                <c:pt idx="1">
                  <c:v>2.5247926920622197E-3</c:v>
                </c:pt>
                <c:pt idx="2">
                  <c:v>4.901541310158874E-4</c:v>
                </c:pt>
                <c:pt idx="3">
                  <c:v>4.5316070263322697E-4</c:v>
                </c:pt>
                <c:pt idx="4">
                  <c:v>-1.6567837378214843E-2</c:v>
                </c:pt>
                <c:pt idx="5">
                  <c:v>-1.6567837378214843E-2</c:v>
                </c:pt>
                <c:pt idx="6">
                  <c:v>-1.6753608725092989E-2</c:v>
                </c:pt>
                <c:pt idx="7">
                  <c:v>-1.6567837378214843E-2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60-4921-9083-36424CBCC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03320"/>
        <c:axId val="1"/>
      </c:scatterChart>
      <c:valAx>
        <c:axId val="82290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903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09022556390977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C27049-E936-88F4-94AA-544B9DB6C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5502" TargetMode="External"/><Relationship Id="rId1" Type="http://schemas.openxmlformats.org/officeDocument/2006/relationships/hyperlink" Target="http://www.konkoly.hu/cgi-bin/IBVS?5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 x14ac:dyDescent="0.3">
      <c r="A1" s="2" t="s">
        <v>0</v>
      </c>
      <c r="F1" s="3">
        <v>52500.184000000001</v>
      </c>
      <c r="G1" s="3">
        <v>0.38867752</v>
      </c>
      <c r="H1" s="3" t="s">
        <v>1</v>
      </c>
    </row>
    <row r="2" spans="1:8" s="24" customFormat="1" ht="12.95" customHeight="1" x14ac:dyDescent="0.2">
      <c r="A2" s="24" t="s">
        <v>2</v>
      </c>
      <c r="B2" s="24" t="str">
        <f>H1</f>
        <v xml:space="preserve">EW/KW     </v>
      </c>
      <c r="C2" s="25"/>
      <c r="D2" s="25"/>
    </row>
    <row r="3" spans="1:8" s="24" customFormat="1" ht="12.95" customHeight="1" x14ac:dyDescent="0.2"/>
    <row r="4" spans="1:8" s="24" customFormat="1" ht="12.95" customHeight="1" x14ac:dyDescent="0.2">
      <c r="A4" s="26" t="s">
        <v>3</v>
      </c>
      <c r="C4" s="27">
        <f>F1</f>
        <v>52500.184000000001</v>
      </c>
      <c r="D4" s="28">
        <f>G1</f>
        <v>0.38867752</v>
      </c>
    </row>
    <row r="5" spans="1:8" s="24" customFormat="1" ht="12.95" customHeight="1" x14ac:dyDescent="0.2">
      <c r="A5" s="29" t="s">
        <v>4</v>
      </c>
      <c r="C5" s="30">
        <v>-9.5</v>
      </c>
      <c r="D5" s="24" t="s">
        <v>5</v>
      </c>
    </row>
    <row r="6" spans="1:8" s="24" customFormat="1" ht="12.95" customHeight="1" x14ac:dyDescent="0.2">
      <c r="A6" s="26" t="s">
        <v>6</v>
      </c>
    </row>
    <row r="7" spans="1:8" s="24" customFormat="1" ht="12.95" customHeight="1" x14ac:dyDescent="0.2">
      <c r="A7" s="24" t="s">
        <v>7</v>
      </c>
      <c r="C7" s="24">
        <f>C4</f>
        <v>52500.184000000001</v>
      </c>
    </row>
    <row r="8" spans="1:8" s="24" customFormat="1" ht="12.95" customHeight="1" x14ac:dyDescent="0.2">
      <c r="A8" s="24" t="s">
        <v>8</v>
      </c>
      <c r="C8" s="24">
        <f>D4</f>
        <v>0.38867752</v>
      </c>
      <c r="D8" s="30"/>
    </row>
    <row r="9" spans="1:8" s="24" customFormat="1" ht="12.95" customHeight="1" x14ac:dyDescent="0.2">
      <c r="A9" s="31" t="s">
        <v>9</v>
      </c>
      <c r="B9" s="32">
        <v>24</v>
      </c>
      <c r="C9" s="33" t="str">
        <f>"F"&amp;B9</f>
        <v>F24</v>
      </c>
      <c r="D9" s="34" t="str">
        <f>"G"&amp;B9</f>
        <v>G24</v>
      </c>
    </row>
    <row r="10" spans="1:8" s="24" customFormat="1" ht="12.95" customHeight="1" x14ac:dyDescent="0.2">
      <c r="C10" s="35" t="s">
        <v>10</v>
      </c>
      <c r="D10" s="35" t="s">
        <v>11</v>
      </c>
    </row>
    <row r="11" spans="1:8" s="24" customFormat="1" ht="12.95" customHeight="1" x14ac:dyDescent="0.2">
      <c r="A11" s="24" t="s">
        <v>12</v>
      </c>
      <c r="C11" s="34">
        <f ca="1">INTERCEPT(INDIRECT($D$9):G974,INDIRECT($C$9):F974)</f>
        <v>2.5247926920622197E-3</v>
      </c>
      <c r="D11" s="25"/>
    </row>
    <row r="12" spans="1:8" s="24" customFormat="1" ht="12.95" customHeight="1" x14ac:dyDescent="0.2">
      <c r="A12" s="24" t="s">
        <v>13</v>
      </c>
      <c r="C12" s="34">
        <f ca="1">SLOPE(INDIRECT($D$9):G974,INDIRECT($C$9):F974)</f>
        <v>-1.6084099296808951E-6</v>
      </c>
      <c r="D12" s="25"/>
    </row>
    <row r="13" spans="1:8" s="24" customFormat="1" ht="12.95" customHeight="1" x14ac:dyDescent="0.2">
      <c r="A13" s="24" t="s">
        <v>14</v>
      </c>
      <c r="C13" s="25" t="s">
        <v>15</v>
      </c>
    </row>
    <row r="14" spans="1:8" s="24" customFormat="1" ht="12.95" customHeight="1" x14ac:dyDescent="0.2"/>
    <row r="15" spans="1:8" s="24" customFormat="1" ht="12.95" customHeight="1" x14ac:dyDescent="0.2">
      <c r="A15" s="26" t="s">
        <v>16</v>
      </c>
      <c r="C15" s="36">
        <f ca="1">(C7+C11)+(C8+C12)*INT(MAX(F21:F3515))</f>
        <v>57158.856001111271</v>
      </c>
      <c r="E15" s="31" t="s">
        <v>17</v>
      </c>
      <c r="F15" s="30">
        <v>1</v>
      </c>
    </row>
    <row r="16" spans="1:8" s="24" customFormat="1" ht="12.95" customHeight="1" x14ac:dyDescent="0.2">
      <c r="A16" s="26" t="s">
        <v>18</v>
      </c>
      <c r="C16" s="36">
        <f ca="1">+C8+C12</f>
        <v>0.38867591159007031</v>
      </c>
      <c r="E16" s="31" t="s">
        <v>19</v>
      </c>
      <c r="F16" s="34">
        <f ca="1">NOW()+15018.5+$C$5/24</f>
        <v>60373.780220370369</v>
      </c>
    </row>
    <row r="17" spans="1:17" s="24" customFormat="1" ht="12.95" customHeight="1" x14ac:dyDescent="0.2">
      <c r="A17" s="31" t="s">
        <v>20</v>
      </c>
      <c r="C17" s="24">
        <f>COUNT(C21:C2173)</f>
        <v>8</v>
      </c>
      <c r="E17" s="31" t="s">
        <v>21</v>
      </c>
      <c r="F17" s="34">
        <f ca="1">ROUND(2*(F16-$C$7)/$C$8,0)/2+F15</f>
        <v>20258.5</v>
      </c>
    </row>
    <row r="18" spans="1:17" s="24" customFormat="1" ht="12.95" customHeight="1" x14ac:dyDescent="0.2">
      <c r="A18" s="26" t="s">
        <v>22</v>
      </c>
      <c r="C18" s="37">
        <f ca="1">+C15</f>
        <v>57158.856001111271</v>
      </c>
      <c r="D18" s="38">
        <f ca="1">+C16</f>
        <v>0.38867591159007031</v>
      </c>
      <c r="E18" s="31" t="s">
        <v>23</v>
      </c>
      <c r="F18" s="34">
        <f ca="1">ROUND(2*(F16-$C$15)/$C$16,0)/2+F15</f>
        <v>8272.5</v>
      </c>
    </row>
    <row r="19" spans="1:17" s="24" customFormat="1" ht="12.95" customHeight="1" x14ac:dyDescent="0.2">
      <c r="E19" s="31" t="s">
        <v>24</v>
      </c>
      <c r="F19" s="39">
        <f ca="1">+$C$15+$C$16*F18-15018.5-$C$5/24</f>
        <v>45356.073313073466</v>
      </c>
    </row>
    <row r="20" spans="1:17" s="24" customFormat="1" ht="12.95" customHeight="1" x14ac:dyDescent="0.2">
      <c r="A20" s="35" t="s">
        <v>25</v>
      </c>
      <c r="B20" s="35" t="s">
        <v>26</v>
      </c>
      <c r="C20" s="35" t="s">
        <v>27</v>
      </c>
      <c r="D20" s="35" t="s">
        <v>28</v>
      </c>
      <c r="E20" s="35" t="s">
        <v>29</v>
      </c>
      <c r="F20" s="35" t="s">
        <v>30</v>
      </c>
      <c r="G20" s="35" t="s">
        <v>31</v>
      </c>
      <c r="H20" s="40" t="s">
        <v>32</v>
      </c>
      <c r="I20" s="40" t="s">
        <v>33</v>
      </c>
      <c r="J20" s="40" t="s">
        <v>34</v>
      </c>
      <c r="K20" s="40" t="s">
        <v>35</v>
      </c>
      <c r="L20" s="40" t="s">
        <v>36</v>
      </c>
      <c r="M20" s="40" t="s">
        <v>37</v>
      </c>
      <c r="N20" s="40" t="s">
        <v>38</v>
      </c>
      <c r="O20" s="40" t="s">
        <v>39</v>
      </c>
      <c r="P20" s="40" t="s">
        <v>40</v>
      </c>
      <c r="Q20" s="35" t="s">
        <v>41</v>
      </c>
    </row>
    <row r="21" spans="1:17" s="24" customFormat="1" ht="12.95" customHeight="1" x14ac:dyDescent="0.2">
      <c r="A21" s="41" t="s">
        <v>42</v>
      </c>
      <c r="B21" s="42" t="s">
        <v>43</v>
      </c>
      <c r="C21" s="43">
        <v>51247.281000000003</v>
      </c>
      <c r="D21" s="44"/>
      <c r="E21" s="24">
        <f t="shared" ref="E21:E27" si="0">+(C21-C$7)/C$8</f>
        <v>-3223.5026095669191</v>
      </c>
      <c r="F21" s="24">
        <f t="shared" ref="F21:F28" si="1">ROUND(2*E21,0)/2</f>
        <v>-3223.5</v>
      </c>
      <c r="G21" s="24">
        <f t="shared" ref="G21:G27" si="2">+C21-(C$7+F21*C$8)</f>
        <v>-1.0142800019821152E-3</v>
      </c>
      <c r="I21" s="24">
        <f>+G21</f>
        <v>-1.0142800019821152E-3</v>
      </c>
      <c r="O21" s="24">
        <f t="shared" ref="O21:O27" ca="1" si="3">+C$11+C$12*$F21</f>
        <v>7.7095021003885855E-3</v>
      </c>
      <c r="Q21" s="45">
        <f t="shared" ref="Q21:Q27" si="4">+C21-15018.5</f>
        <v>36228.781000000003</v>
      </c>
    </row>
    <row r="22" spans="1:17" s="24" customFormat="1" ht="12.95" customHeight="1" x14ac:dyDescent="0.2">
      <c r="A22" s="5" t="s">
        <v>44</v>
      </c>
      <c r="B22" s="46" t="s">
        <v>45</v>
      </c>
      <c r="C22" s="5">
        <f>C$7</f>
        <v>52500.184000000001</v>
      </c>
      <c r="D22" s="47"/>
      <c r="E22" s="24">
        <f t="shared" si="0"/>
        <v>0</v>
      </c>
      <c r="F22" s="24">
        <f t="shared" si="1"/>
        <v>0</v>
      </c>
      <c r="G22" s="24">
        <f t="shared" si="2"/>
        <v>0</v>
      </c>
      <c r="I22" s="24">
        <f>+G22</f>
        <v>0</v>
      </c>
      <c r="O22" s="24">
        <f t="shared" ca="1" si="3"/>
        <v>2.5247926920622197E-3</v>
      </c>
      <c r="Q22" s="45">
        <f t="shared" si="4"/>
        <v>37481.684000000001</v>
      </c>
    </row>
    <row r="23" spans="1:17" s="24" customFormat="1" ht="12.95" customHeight="1" x14ac:dyDescent="0.2">
      <c r="A23" s="5" t="s">
        <v>46</v>
      </c>
      <c r="B23" s="6" t="s">
        <v>45</v>
      </c>
      <c r="C23" s="7">
        <v>52991.860999999997</v>
      </c>
      <c r="D23" s="8">
        <v>2.0000000000000001E-4</v>
      </c>
      <c r="E23" s="24">
        <f t="shared" si="0"/>
        <v>1264.999838426457</v>
      </c>
      <c r="F23" s="24">
        <f t="shared" si="1"/>
        <v>1265</v>
      </c>
      <c r="G23" s="24">
        <f t="shared" si="2"/>
        <v>-6.2800005252938718E-5</v>
      </c>
      <c r="K23" s="24">
        <f t="shared" ref="K23:K28" si="5">+G23</f>
        <v>-6.2800005252938718E-5</v>
      </c>
      <c r="O23" s="24">
        <f t="shared" ca="1" si="3"/>
        <v>4.901541310158874E-4</v>
      </c>
      <c r="Q23" s="45">
        <f t="shared" si="4"/>
        <v>37973.360999999997</v>
      </c>
    </row>
    <row r="24" spans="1:17" s="24" customFormat="1" ht="12.95" customHeight="1" x14ac:dyDescent="0.2">
      <c r="A24" s="5" t="s">
        <v>46</v>
      </c>
      <c r="B24" s="6" t="s">
        <v>45</v>
      </c>
      <c r="C24" s="7">
        <v>53000.801099999997</v>
      </c>
      <c r="D24" s="8">
        <v>2.0000000000000001E-4</v>
      </c>
      <c r="E24" s="24">
        <f t="shared" si="0"/>
        <v>1288.001168680905</v>
      </c>
      <c r="F24" s="24">
        <f t="shared" si="1"/>
        <v>1288</v>
      </c>
      <c r="G24" s="24">
        <f t="shared" si="2"/>
        <v>4.5423999836202711E-4</v>
      </c>
      <c r="K24" s="24">
        <f t="shared" si="5"/>
        <v>4.5423999836202711E-4</v>
      </c>
      <c r="O24" s="24">
        <f t="shared" ca="1" si="3"/>
        <v>4.5316070263322697E-4</v>
      </c>
      <c r="Q24" s="45">
        <f t="shared" si="4"/>
        <v>37982.301099999997</v>
      </c>
    </row>
    <row r="25" spans="1:17" s="24" customFormat="1" ht="12.95" customHeight="1" x14ac:dyDescent="0.2">
      <c r="A25" s="24" t="s">
        <v>47</v>
      </c>
      <c r="B25" s="48" t="s">
        <v>43</v>
      </c>
      <c r="C25" s="49">
        <v>57113.963900000002</v>
      </c>
      <c r="D25" s="9">
        <v>2.9999999999999997E-4</v>
      </c>
      <c r="E25" s="24">
        <f t="shared" si="0"/>
        <v>11870.457288088082</v>
      </c>
      <c r="F25" s="24">
        <f t="shared" si="1"/>
        <v>11870.5</v>
      </c>
      <c r="G25" s="24">
        <f t="shared" si="2"/>
        <v>-1.6601160001300741E-2</v>
      </c>
      <c r="K25" s="24">
        <f t="shared" si="5"/>
        <v>-1.6601160001300741E-2</v>
      </c>
      <c r="O25" s="24">
        <f t="shared" ca="1" si="3"/>
        <v>-1.6567837378214843E-2</v>
      </c>
      <c r="Q25" s="45">
        <f t="shared" si="4"/>
        <v>42095.463900000002</v>
      </c>
    </row>
    <row r="26" spans="1:17" s="24" customFormat="1" ht="12.95" customHeight="1" x14ac:dyDescent="0.2">
      <c r="A26" s="10" t="s">
        <v>48</v>
      </c>
      <c r="B26" s="11" t="s">
        <v>43</v>
      </c>
      <c r="C26" s="10">
        <v>57113.963900000002</v>
      </c>
      <c r="D26" s="10">
        <v>2.9999999999999997E-4</v>
      </c>
      <c r="E26" s="24">
        <f t="shared" si="0"/>
        <v>11870.457288088082</v>
      </c>
      <c r="F26" s="24">
        <f t="shared" si="1"/>
        <v>11870.5</v>
      </c>
      <c r="G26" s="24">
        <f t="shared" si="2"/>
        <v>-1.6601160001300741E-2</v>
      </c>
      <c r="K26" s="24">
        <f t="shared" si="5"/>
        <v>-1.6601160001300741E-2</v>
      </c>
      <c r="O26" s="24">
        <f t="shared" ca="1" si="3"/>
        <v>-1.6567837378214843E-2</v>
      </c>
      <c r="Q26" s="45">
        <f t="shared" si="4"/>
        <v>42095.463900000002</v>
      </c>
    </row>
    <row r="27" spans="1:17" s="24" customFormat="1" ht="12.95" customHeight="1" x14ac:dyDescent="0.2">
      <c r="A27" s="10" t="s">
        <v>48</v>
      </c>
      <c r="B27" s="11" t="s">
        <v>45</v>
      </c>
      <c r="C27" s="10">
        <v>57158.856099999997</v>
      </c>
      <c r="D27" s="10">
        <v>1E-4</v>
      </c>
      <c r="E27" s="24">
        <f t="shared" si="0"/>
        <v>11985.957150287457</v>
      </c>
      <c r="F27" s="24">
        <f t="shared" si="1"/>
        <v>11986</v>
      </c>
      <c r="G27" s="24">
        <f t="shared" si="2"/>
        <v>-1.6654720006044954E-2</v>
      </c>
      <c r="K27" s="24">
        <f t="shared" si="5"/>
        <v>-1.6654720006044954E-2</v>
      </c>
      <c r="O27" s="24">
        <f t="shared" ca="1" si="3"/>
        <v>-1.6753608725092989E-2</v>
      </c>
      <c r="Q27" s="45">
        <f t="shared" si="4"/>
        <v>42140.356099999997</v>
      </c>
    </row>
    <row r="28" spans="1:17" s="24" customFormat="1" ht="12.95" customHeight="1" x14ac:dyDescent="0.2">
      <c r="A28" s="41" t="s">
        <v>48</v>
      </c>
      <c r="B28" s="42" t="s">
        <v>43</v>
      </c>
      <c r="C28" s="43">
        <v>57113.963899999857</v>
      </c>
      <c r="D28" s="43">
        <v>2.9999999999999997E-4</v>
      </c>
      <c r="E28" s="24">
        <f>+(C28-C$7)/C$8</f>
        <v>11870.457288087708</v>
      </c>
      <c r="F28" s="24">
        <f t="shared" si="1"/>
        <v>11870.5</v>
      </c>
      <c r="G28" s="24">
        <f>+C28-(C$7+F28*C$8)</f>
        <v>-1.6601160146819893E-2</v>
      </c>
      <c r="K28" s="24">
        <f t="shared" si="5"/>
        <v>-1.6601160146819893E-2</v>
      </c>
      <c r="O28" s="24">
        <f ca="1">+C$11+C$12*$F28</f>
        <v>-1.6567837378214843E-2</v>
      </c>
      <c r="Q28" s="45">
        <f>+C28-15018.5</f>
        <v>42095.463899999857</v>
      </c>
    </row>
    <row r="29" spans="1:17" s="24" customFormat="1" ht="12.95" customHeight="1" x14ac:dyDescent="0.2"/>
    <row r="30" spans="1:17" s="24" customFormat="1" ht="12.95" customHeight="1" x14ac:dyDescent="0.2"/>
    <row r="31" spans="1:17" s="24" customFormat="1" ht="12.95" customHeight="1" x14ac:dyDescent="0.2"/>
    <row r="32" spans="1:17" s="24" customFormat="1" ht="12.95" customHeight="1" x14ac:dyDescent="0.2"/>
    <row r="33" s="24" customFormat="1" ht="12.95" customHeight="1" x14ac:dyDescent="0.2"/>
    <row r="34" s="24" customFormat="1" ht="12.95" customHeight="1" x14ac:dyDescent="0.2"/>
    <row r="35" s="24" customFormat="1" ht="12.95" customHeight="1" x14ac:dyDescent="0.2"/>
    <row r="36" s="24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11" sqref="A11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2" t="s">
        <v>49</v>
      </c>
      <c r="I1" s="13" t="s">
        <v>50</v>
      </c>
      <c r="J1" s="14" t="s">
        <v>35</v>
      </c>
    </row>
    <row r="2" spans="1:16" x14ac:dyDescent="0.2">
      <c r="I2" s="15" t="s">
        <v>51</v>
      </c>
      <c r="J2" s="16" t="s">
        <v>34</v>
      </c>
    </row>
    <row r="3" spans="1:16" x14ac:dyDescent="0.2">
      <c r="A3" s="17" t="s">
        <v>52</v>
      </c>
      <c r="I3" s="15" t="s">
        <v>53</v>
      </c>
      <c r="J3" s="16" t="s">
        <v>32</v>
      </c>
    </row>
    <row r="4" spans="1:16" x14ac:dyDescent="0.2">
      <c r="I4" s="15" t="s">
        <v>54</v>
      </c>
      <c r="J4" s="16" t="s">
        <v>32</v>
      </c>
    </row>
    <row r="5" spans="1:16" x14ac:dyDescent="0.2">
      <c r="I5" s="18" t="s">
        <v>55</v>
      </c>
      <c r="J5" s="19" t="s">
        <v>33</v>
      </c>
    </row>
    <row r="11" spans="1:16" ht="12.75" customHeight="1" x14ac:dyDescent="0.2">
      <c r="A11" s="4" t="str">
        <f>P11</f>
        <v> JAAVSO 41;122 </v>
      </c>
      <c r="B11" s="3" t="str">
        <f>IF(H11=INT(H11),"I","II")</f>
        <v>II</v>
      </c>
      <c r="C11" s="4">
        <f>1*G11</f>
        <v>51247.281000000003</v>
      </c>
      <c r="D11" t="str">
        <f>VLOOKUP(F11,I$1:J$5,2,FALSE)</f>
        <v>vis</v>
      </c>
      <c r="E11">
        <f>VLOOKUP(C11,Active!C$21:E$972,3,FALSE)</f>
        <v>-3223.5026095669191</v>
      </c>
      <c r="F11" s="3" t="s">
        <v>55</v>
      </c>
      <c r="G11" t="str">
        <f>MID(I11,3,LEN(I11)-3)</f>
        <v>51247.281</v>
      </c>
      <c r="H11" s="4">
        <f>1*K11</f>
        <v>59593.5</v>
      </c>
      <c r="I11" s="20" t="s">
        <v>56</v>
      </c>
      <c r="J11" s="21" t="s">
        <v>57</v>
      </c>
      <c r="K11" s="20">
        <v>59593.5</v>
      </c>
      <c r="L11" s="20" t="s">
        <v>58</v>
      </c>
      <c r="M11" s="21" t="s">
        <v>59</v>
      </c>
      <c r="N11" s="21"/>
      <c r="O11" s="22" t="s">
        <v>60</v>
      </c>
      <c r="P11" s="22" t="s">
        <v>61</v>
      </c>
    </row>
    <row r="12" spans="1:16" ht="12.75" customHeight="1" x14ac:dyDescent="0.2">
      <c r="A12" s="4" t="str">
        <f>P12</f>
        <v>IBVS 5502 </v>
      </c>
      <c r="B12" s="3" t="str">
        <f>IF(H12=INT(H12),"I","II")</f>
        <v>I</v>
      </c>
      <c r="C12" s="4">
        <f>1*G12</f>
        <v>52991.860999999997</v>
      </c>
      <c r="D12" t="str">
        <f>VLOOKUP(F12,I$1:J$5,2,FALSE)</f>
        <v>vis</v>
      </c>
      <c r="E12">
        <f>VLOOKUP(C12,Active!C$21:E$972,3,FALSE)</f>
        <v>1264.999838426457</v>
      </c>
      <c r="F12" s="3" t="s">
        <v>55</v>
      </c>
      <c r="G12" t="str">
        <f>MID(I12,3,LEN(I12)-3)</f>
        <v>52991.8610</v>
      </c>
      <c r="H12" s="4">
        <f>1*K12</f>
        <v>64082</v>
      </c>
      <c r="I12" s="20" t="s">
        <v>62</v>
      </c>
      <c r="J12" s="21" t="s">
        <v>63</v>
      </c>
      <c r="K12" s="20">
        <v>64082</v>
      </c>
      <c r="L12" s="20" t="s">
        <v>64</v>
      </c>
      <c r="M12" s="21" t="s">
        <v>65</v>
      </c>
      <c r="N12" s="21" t="s">
        <v>66</v>
      </c>
      <c r="O12" s="22" t="s">
        <v>67</v>
      </c>
      <c r="P12" s="23" t="s">
        <v>68</v>
      </c>
    </row>
    <row r="13" spans="1:16" ht="12.75" customHeight="1" x14ac:dyDescent="0.2">
      <c r="A13" s="4" t="str">
        <f>P13</f>
        <v>IBVS 5502 </v>
      </c>
      <c r="B13" s="3" t="str">
        <f>IF(H13=INT(H13),"I","II")</f>
        <v>I</v>
      </c>
      <c r="C13" s="4">
        <f>1*G13</f>
        <v>53000.801099999997</v>
      </c>
      <c r="D13" t="str">
        <f>VLOOKUP(F13,I$1:J$5,2,FALSE)</f>
        <v>vis</v>
      </c>
      <c r="E13">
        <f>VLOOKUP(C13,Active!C$21:E$972,3,FALSE)</f>
        <v>1288.001168680905</v>
      </c>
      <c r="F13" s="3" t="s">
        <v>55</v>
      </c>
      <c r="G13" t="str">
        <f>MID(I13,3,LEN(I13)-3)</f>
        <v>53000.8011</v>
      </c>
      <c r="H13" s="4">
        <f>1*K13</f>
        <v>64105</v>
      </c>
      <c r="I13" s="20" t="s">
        <v>69</v>
      </c>
      <c r="J13" s="21" t="s">
        <v>70</v>
      </c>
      <c r="K13" s="20">
        <v>64105</v>
      </c>
      <c r="L13" s="20" t="s">
        <v>71</v>
      </c>
      <c r="M13" s="21" t="s">
        <v>65</v>
      </c>
      <c r="N13" s="21" t="s">
        <v>66</v>
      </c>
      <c r="O13" s="22" t="s">
        <v>67</v>
      </c>
      <c r="P13" s="23" t="s">
        <v>68</v>
      </c>
    </row>
  </sheetData>
  <sheetProtection selectLockedCells="1" selectUnlockedCells="1"/>
  <hyperlinks>
    <hyperlink ref="P12" r:id="rId1"/>
    <hyperlink ref="P13" r:id="rId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2024-03-04T05:43:30Z</dcterms:created>
  <dcterms:modified xsi:type="dcterms:W3CDTF">2024-03-04T05:43:31Z</dcterms:modified>
</cp:coreProperties>
</file>