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2DB62E4-AFC5-4BEF-A49F-D67AB73B6B1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E9" i="1"/>
  <c r="F16" i="1"/>
  <c r="C17" i="1"/>
  <c r="Q35" i="1"/>
  <c r="H35" i="1"/>
  <c r="C11" i="1"/>
  <c r="C12" i="1"/>
  <c r="C16" i="1" l="1"/>
  <c r="D18" i="1" s="1"/>
  <c r="O28" i="1"/>
  <c r="O35" i="1"/>
  <c r="O21" i="1"/>
  <c r="O31" i="1"/>
  <c r="O30" i="1"/>
  <c r="O29" i="1"/>
  <c r="O24" i="1"/>
  <c r="O26" i="1"/>
  <c r="O27" i="1"/>
  <c r="O22" i="1"/>
  <c r="C15" i="1"/>
  <c r="O32" i="1"/>
  <c r="O33" i="1"/>
  <c r="O34" i="1"/>
  <c r="O25" i="1"/>
  <c r="O23" i="1"/>
  <c r="F17" i="1"/>
  <c r="C18" i="1" l="1"/>
  <c r="F18" i="1"/>
  <c r="F19" i="1" s="1"/>
</calcChain>
</file>

<file path=xl/sharedStrings.xml><?xml version="1.0" encoding="utf-8"?>
<sst xmlns="http://schemas.openxmlformats.org/spreadsheetml/2006/main" count="188" uniqueCount="105">
  <si>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</si>
  <si>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</si>
  <si>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</si>
  <si>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</si>
  <si>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</si>
  <si>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</si>
  <si>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</si>
  <si>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</si>
  <si>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</si>
  <si>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</si>
  <si>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</si>
  <si>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</si>
  <si>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</si>
  <si>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</si>
  <si>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</si>
  <si>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</si>
  <si>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</si>
  <si>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</si>
  <si>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</si>
  <si>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</si>
  <si>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</si>
  <si>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</si>
  <si>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</si>
  <si>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</si>
  <si>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</si>
  <si>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</si>
  <si>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</si>
  <si>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</si>
  <si>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</si>
  <si>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</si>
  <si>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</si>
  <si>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</si>
  <si>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</si>
  <si>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</si>
  <si>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</si>
  <si>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</si>
  <si>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</si>
  <si>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</si>
  <si>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</si>
  <si>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</si>
  <si>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</si>
  <si>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</si>
  <si>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</si>
  <si>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</si>
  <si>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</si>
  <si>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</si>
  <si>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</si>
  <si>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</si>
  <si>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</si>
  <si>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XY Pup</t>
  </si>
  <si>
    <t>EA/DS</t>
  </si>
  <si>
    <t>GCVS 4</t>
  </si>
  <si>
    <t>2426114.492 </t>
  </si>
  <si>
    <t> 17.05.1930 23:48 </t>
  </si>
  <si>
    <t> -0.190 </t>
  </si>
  <si>
    <t> S.Gaposchkin </t>
  </si>
  <si>
    <t> HA 113.76 </t>
  </si>
  <si>
    <t>2426417.805 </t>
  </si>
  <si>
    <t> 17.03.1931 07:19 </t>
  </si>
  <si>
    <t> 0.000 </t>
  </si>
  <si>
    <t>V </t>
  </si>
  <si>
    <t> J.Pagaczewski </t>
  </si>
  <si>
    <t> SAC 18.61 </t>
  </si>
  <si>
    <t>2426707.27 </t>
  </si>
  <si>
    <t> 31.12.1931 18:28 </t>
  </si>
  <si>
    <t> 0.12 </t>
  </si>
  <si>
    <t> N.Florja </t>
  </si>
  <si>
    <t> PSMO 8.2.52 </t>
  </si>
  <si>
    <t>2426762.15 </t>
  </si>
  <si>
    <t> 24.02.1932 15:36 </t>
  </si>
  <si>
    <t> -0.11 </t>
  </si>
  <si>
    <t>2426776.15 </t>
  </si>
  <si>
    <t> 09.03.1932 15:36 </t>
  </si>
  <si>
    <t> 0.11 </t>
  </si>
  <si>
    <t>2426982.45 </t>
  </si>
  <si>
    <t> 01.10.1932 22:48 </t>
  </si>
  <si>
    <t> -0.27 </t>
  </si>
  <si>
    <t>2427093.24 </t>
  </si>
  <si>
    <t> 20.01.1933 17:45 </t>
  </si>
  <si>
    <t> 0.30 </t>
  </si>
  <si>
    <t>2427368.50 </t>
  </si>
  <si>
    <t> 23.10.1933 00:00 </t>
  </si>
  <si>
    <t> -0.01 </t>
  </si>
  <si>
    <t>2427533.847 </t>
  </si>
  <si>
    <t> 06.04.1934 08:19 </t>
  </si>
  <si>
    <t> -0.000 </t>
  </si>
  <si>
    <t> F.Lause </t>
  </si>
  <si>
    <t> AN 264.106 </t>
  </si>
  <si>
    <t>2427892.170 </t>
  </si>
  <si>
    <t> 30.03.1935 16:04 </t>
  </si>
  <si>
    <t> 0.087 </t>
  </si>
  <si>
    <t> AA 27.161 </t>
  </si>
  <si>
    <t>2427892.20 </t>
  </si>
  <si>
    <t> 30.03.1935 16:48 </t>
  </si>
  <si>
    <t>2428208.955 </t>
  </si>
  <si>
    <t> 10.02.1936 10:55 </t>
  </si>
  <si>
    <t> -0.029 </t>
  </si>
  <si>
    <t>2428277.835 </t>
  </si>
  <si>
    <t> 19.04.1936 08:02 </t>
  </si>
  <si>
    <t> -0.040 </t>
  </si>
  <si>
    <t>2428498.303 </t>
  </si>
  <si>
    <t> 25.11.1936 19:16 </t>
  </si>
  <si>
    <t> -0.025 </t>
  </si>
  <si>
    <t>I</t>
  </si>
  <si>
    <t>XY Pup / GSC 52513.75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</si>
</sst>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Pup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-1916</c:v>
                </c:pt>
                <c:pt idx="1">
                  <c:v>-1894</c:v>
                </c:pt>
                <c:pt idx="2">
                  <c:v>-1873</c:v>
                </c:pt>
                <c:pt idx="3">
                  <c:v>-1869</c:v>
                </c:pt>
                <c:pt idx="4">
                  <c:v>-1868</c:v>
                </c:pt>
                <c:pt idx="5">
                  <c:v>-1853</c:v>
                </c:pt>
                <c:pt idx="6">
                  <c:v>-1845</c:v>
                </c:pt>
                <c:pt idx="7">
                  <c:v>-1825</c:v>
                </c:pt>
                <c:pt idx="8">
                  <c:v>-1813</c:v>
                </c:pt>
                <c:pt idx="9">
                  <c:v>-1787</c:v>
                </c:pt>
                <c:pt idx="10">
                  <c:v>-1787</c:v>
                </c:pt>
                <c:pt idx="11">
                  <c:v>-1764</c:v>
                </c:pt>
                <c:pt idx="12">
                  <c:v>-1759</c:v>
                </c:pt>
                <c:pt idx="13">
                  <c:v>-1743</c:v>
                </c:pt>
                <c:pt idx="14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-0.20121797947285813</c:v>
                </c:pt>
                <c:pt idx="1">
                  <c:v>-9.0233442206226755E-3</c:v>
                </c:pt>
                <c:pt idx="2">
                  <c:v>0.11338971670193132</c:v>
                </c:pt>
                <c:pt idx="3">
                  <c:v>-0.11948398598178755</c:v>
                </c:pt>
                <c:pt idx="4">
                  <c:v>0.10229758834975655</c:v>
                </c:pt>
                <c:pt idx="5">
                  <c:v>-0.27097879670691327</c:v>
                </c:pt>
                <c:pt idx="6">
                  <c:v>0.2932737979281228</c:v>
                </c:pt>
                <c:pt idx="7">
                  <c:v>-1.1094715482613537E-2</c:v>
                </c:pt>
                <c:pt idx="8">
                  <c:v>-2.7158235243405215E-3</c:v>
                </c:pt>
                <c:pt idx="9">
                  <c:v>8.6605109037918737E-2</c:v>
                </c:pt>
                <c:pt idx="10">
                  <c:v>0.11660510904039256</c:v>
                </c:pt>
                <c:pt idx="11">
                  <c:v>-2.7418681376730092E-2</c:v>
                </c:pt>
                <c:pt idx="12">
                  <c:v>-3.8510809732542839E-2</c:v>
                </c:pt>
                <c:pt idx="13">
                  <c:v>-2.2005620459822239E-2</c:v>
                </c:pt>
                <c:pt idx="14">
                  <c:v>-9.7215640707872808E-3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91-4AD2-A696-B44E913EA85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-1916</c:v>
                </c:pt>
                <c:pt idx="1">
                  <c:v>-1894</c:v>
                </c:pt>
                <c:pt idx="2">
                  <c:v>-1873</c:v>
                </c:pt>
                <c:pt idx="3">
                  <c:v>-1869</c:v>
                </c:pt>
                <c:pt idx="4">
                  <c:v>-1868</c:v>
                </c:pt>
                <c:pt idx="5">
                  <c:v>-1853</c:v>
                </c:pt>
                <c:pt idx="6">
                  <c:v>-1845</c:v>
                </c:pt>
                <c:pt idx="7">
                  <c:v>-1825</c:v>
                </c:pt>
                <c:pt idx="8">
                  <c:v>-1813</c:v>
                </c:pt>
                <c:pt idx="9">
                  <c:v>-1787</c:v>
                </c:pt>
                <c:pt idx="10">
                  <c:v>-1787</c:v>
                </c:pt>
                <c:pt idx="11">
                  <c:v>-1764</c:v>
                </c:pt>
                <c:pt idx="12">
                  <c:v>-1759</c:v>
                </c:pt>
                <c:pt idx="13">
                  <c:v>-1743</c:v>
                </c:pt>
                <c:pt idx="14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91-4AD2-A696-B44E913EA85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-1916</c:v>
                </c:pt>
                <c:pt idx="1">
                  <c:v>-1894</c:v>
                </c:pt>
                <c:pt idx="2">
                  <c:v>-1873</c:v>
                </c:pt>
                <c:pt idx="3">
                  <c:v>-1869</c:v>
                </c:pt>
                <c:pt idx="4">
                  <c:v>-1868</c:v>
                </c:pt>
                <c:pt idx="5">
                  <c:v>-1853</c:v>
                </c:pt>
                <c:pt idx="6">
                  <c:v>-1845</c:v>
                </c:pt>
                <c:pt idx="7">
                  <c:v>-1825</c:v>
                </c:pt>
                <c:pt idx="8">
                  <c:v>-1813</c:v>
                </c:pt>
                <c:pt idx="9">
                  <c:v>-1787</c:v>
                </c:pt>
                <c:pt idx="10">
                  <c:v>-1787</c:v>
                </c:pt>
                <c:pt idx="11">
                  <c:v>-1764</c:v>
                </c:pt>
                <c:pt idx="12">
                  <c:v>-1759</c:v>
                </c:pt>
                <c:pt idx="13">
                  <c:v>-1743</c:v>
                </c:pt>
                <c:pt idx="14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91-4AD2-A696-B44E913EA85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-1916</c:v>
                </c:pt>
                <c:pt idx="1">
                  <c:v>-1894</c:v>
                </c:pt>
                <c:pt idx="2">
                  <c:v>-1873</c:v>
                </c:pt>
                <c:pt idx="3">
                  <c:v>-1869</c:v>
                </c:pt>
                <c:pt idx="4">
                  <c:v>-1868</c:v>
                </c:pt>
                <c:pt idx="5">
                  <c:v>-1853</c:v>
                </c:pt>
                <c:pt idx="6">
                  <c:v>-1845</c:v>
                </c:pt>
                <c:pt idx="7">
                  <c:v>-1825</c:v>
                </c:pt>
                <c:pt idx="8">
                  <c:v>-1813</c:v>
                </c:pt>
                <c:pt idx="9">
                  <c:v>-1787</c:v>
                </c:pt>
                <c:pt idx="10">
                  <c:v>-1787</c:v>
                </c:pt>
                <c:pt idx="11">
                  <c:v>-1764</c:v>
                </c:pt>
                <c:pt idx="12">
                  <c:v>-1759</c:v>
                </c:pt>
                <c:pt idx="13">
                  <c:v>-1743</c:v>
                </c:pt>
                <c:pt idx="14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91-4AD2-A696-B44E913EA85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-1916</c:v>
                </c:pt>
                <c:pt idx="1">
                  <c:v>-1894</c:v>
                </c:pt>
                <c:pt idx="2">
                  <c:v>-1873</c:v>
                </c:pt>
                <c:pt idx="3">
                  <c:v>-1869</c:v>
                </c:pt>
                <c:pt idx="4">
                  <c:v>-1868</c:v>
                </c:pt>
                <c:pt idx="5">
                  <c:v>-1853</c:v>
                </c:pt>
                <c:pt idx="6">
                  <c:v>-1845</c:v>
                </c:pt>
                <c:pt idx="7">
                  <c:v>-1825</c:v>
                </c:pt>
                <c:pt idx="8">
                  <c:v>-1813</c:v>
                </c:pt>
                <c:pt idx="9">
                  <c:v>-1787</c:v>
                </c:pt>
                <c:pt idx="10">
                  <c:v>-1787</c:v>
                </c:pt>
                <c:pt idx="11">
                  <c:v>-1764</c:v>
                </c:pt>
                <c:pt idx="12">
                  <c:v>-1759</c:v>
                </c:pt>
                <c:pt idx="13">
                  <c:v>-1743</c:v>
                </c:pt>
                <c:pt idx="14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91-4AD2-A696-B44E913EA85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-1916</c:v>
                </c:pt>
                <c:pt idx="1">
                  <c:v>-1894</c:v>
                </c:pt>
                <c:pt idx="2">
                  <c:v>-1873</c:v>
                </c:pt>
                <c:pt idx="3">
                  <c:v>-1869</c:v>
                </c:pt>
                <c:pt idx="4">
                  <c:v>-1868</c:v>
                </c:pt>
                <c:pt idx="5">
                  <c:v>-1853</c:v>
                </c:pt>
                <c:pt idx="6">
                  <c:v>-1845</c:v>
                </c:pt>
                <c:pt idx="7">
                  <c:v>-1825</c:v>
                </c:pt>
                <c:pt idx="8">
                  <c:v>-1813</c:v>
                </c:pt>
                <c:pt idx="9">
                  <c:v>-1787</c:v>
                </c:pt>
                <c:pt idx="10">
                  <c:v>-1787</c:v>
                </c:pt>
                <c:pt idx="11">
                  <c:v>-1764</c:v>
                </c:pt>
                <c:pt idx="12">
                  <c:v>-1759</c:v>
                </c:pt>
                <c:pt idx="13">
                  <c:v>-1743</c:v>
                </c:pt>
                <c:pt idx="14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91-4AD2-A696-B44E913EA85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-1916</c:v>
                </c:pt>
                <c:pt idx="1">
                  <c:v>-1894</c:v>
                </c:pt>
                <c:pt idx="2">
                  <c:v>-1873</c:v>
                </c:pt>
                <c:pt idx="3">
                  <c:v>-1869</c:v>
                </c:pt>
                <c:pt idx="4">
                  <c:v>-1868</c:v>
                </c:pt>
                <c:pt idx="5">
                  <c:v>-1853</c:v>
                </c:pt>
                <c:pt idx="6">
                  <c:v>-1845</c:v>
                </c:pt>
                <c:pt idx="7">
                  <c:v>-1825</c:v>
                </c:pt>
                <c:pt idx="8">
                  <c:v>-1813</c:v>
                </c:pt>
                <c:pt idx="9">
                  <c:v>-1787</c:v>
                </c:pt>
                <c:pt idx="10">
                  <c:v>-1787</c:v>
                </c:pt>
                <c:pt idx="11">
                  <c:v>-1764</c:v>
                </c:pt>
                <c:pt idx="12">
                  <c:v>-1759</c:v>
                </c:pt>
                <c:pt idx="13">
                  <c:v>-1743</c:v>
                </c:pt>
                <c:pt idx="14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91-4AD2-A696-B44E913EA85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-1916</c:v>
                </c:pt>
                <c:pt idx="1">
                  <c:v>-1894</c:v>
                </c:pt>
                <c:pt idx="2">
                  <c:v>-1873</c:v>
                </c:pt>
                <c:pt idx="3">
                  <c:v>-1869</c:v>
                </c:pt>
                <c:pt idx="4">
                  <c:v>-1868</c:v>
                </c:pt>
                <c:pt idx="5">
                  <c:v>-1853</c:v>
                </c:pt>
                <c:pt idx="6">
                  <c:v>-1845</c:v>
                </c:pt>
                <c:pt idx="7">
                  <c:v>-1825</c:v>
                </c:pt>
                <c:pt idx="8">
                  <c:v>-1813</c:v>
                </c:pt>
                <c:pt idx="9">
                  <c:v>-1787</c:v>
                </c:pt>
                <c:pt idx="10">
                  <c:v>-1787</c:v>
                </c:pt>
                <c:pt idx="11">
                  <c:v>-1764</c:v>
                </c:pt>
                <c:pt idx="12">
                  <c:v>-1759</c:v>
                </c:pt>
                <c:pt idx="13">
                  <c:v>-1743</c:v>
                </c:pt>
                <c:pt idx="14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1.7436475376364635E-12</c:v>
                </c:pt>
                <c:pt idx="1">
                  <c:v>1.764283855266269E-12</c:v>
                </c:pt>
                <c:pt idx="2">
                  <c:v>1.783982158458356E-12</c:v>
                </c:pt>
                <c:pt idx="3">
                  <c:v>1.7877342162092298E-12</c:v>
                </c:pt>
                <c:pt idx="4">
                  <c:v>1.7886722306469481E-12</c:v>
                </c:pt>
                <c:pt idx="5">
                  <c:v>1.8027424472127247E-12</c:v>
                </c:pt>
                <c:pt idx="6">
                  <c:v>1.8102465627144721E-12</c:v>
                </c:pt>
                <c:pt idx="7">
                  <c:v>1.8290068514688408E-12</c:v>
                </c:pt>
                <c:pt idx="8">
                  <c:v>1.8402630247214621E-12</c:v>
                </c:pt>
                <c:pt idx="9">
                  <c:v>1.8646514001021412E-12</c:v>
                </c:pt>
                <c:pt idx="10">
                  <c:v>1.8646514001021412E-12</c:v>
                </c:pt>
                <c:pt idx="11">
                  <c:v>1.8862257321696652E-12</c:v>
                </c:pt>
                <c:pt idx="12">
                  <c:v>1.8909158043582573E-12</c:v>
                </c:pt>
                <c:pt idx="13">
                  <c:v>1.9059240353617522E-12</c:v>
                </c:pt>
                <c:pt idx="14">
                  <c:v>3.54088320030498E-12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91-4AD2-A696-B44E913EA85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-1916</c:v>
                </c:pt>
                <c:pt idx="1">
                  <c:v>-1894</c:v>
                </c:pt>
                <c:pt idx="2">
                  <c:v>-1873</c:v>
                </c:pt>
                <c:pt idx="3">
                  <c:v>-1869</c:v>
                </c:pt>
                <c:pt idx="4">
                  <c:v>-1868</c:v>
                </c:pt>
                <c:pt idx="5">
                  <c:v>-1853</c:v>
                </c:pt>
                <c:pt idx="6">
                  <c:v>-1845</c:v>
                </c:pt>
                <c:pt idx="7">
                  <c:v>-1825</c:v>
                </c:pt>
                <c:pt idx="8">
                  <c:v>-1813</c:v>
                </c:pt>
                <c:pt idx="9">
                  <c:v>-1787</c:v>
                </c:pt>
                <c:pt idx="10">
                  <c:v>-1787</c:v>
                </c:pt>
                <c:pt idx="11">
                  <c:v>-1764</c:v>
                </c:pt>
                <c:pt idx="12">
                  <c:v>-1759</c:v>
                </c:pt>
                <c:pt idx="13">
                  <c:v>-1743</c:v>
                </c:pt>
                <c:pt idx="14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91-4AD2-A696-B44E913EA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72272"/>
        <c:axId val="1"/>
      </c:scatterChart>
      <c:valAx>
        <c:axId val="944872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72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D898D5-04C0-B9D3-3C6D-580DB1C1A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6" customFormat="1" ht="20.25" x14ac:dyDescent="0.2">
      <c r="A1" s="57" t="s">
        <v>104</v>
      </c>
      <c r="F1" s="22" t="s">
        <v>49</v>
      </c>
      <c r="G1" s="6">
        <v>8.0934699999999999</v>
      </c>
      <c r="H1" s="7">
        <v>-11.5909</v>
      </c>
      <c r="I1" s="8">
        <v>52513.75</v>
      </c>
      <c r="J1" s="8">
        <v>13.7782</v>
      </c>
      <c r="K1" s="5" t="s">
        <v>50</v>
      </c>
      <c r="L1" s="7"/>
      <c r="M1" s="8">
        <v>52513.759721564071</v>
      </c>
      <c r="N1" s="8">
        <v>13.77821842567046</v>
      </c>
      <c r="O1" s="9" t="s">
        <v>50</v>
      </c>
    </row>
    <row r="2" spans="1:15" s="26" customFormat="1" ht="12.95" customHeight="1" x14ac:dyDescent="0.2">
      <c r="A2" s="26" t="s">
        <v>23</v>
      </c>
      <c r="B2" s="26" t="s">
        <v>50</v>
      </c>
      <c r="C2" s="27"/>
      <c r="D2" s="28"/>
    </row>
    <row r="3" spans="1:15" s="26" customFormat="1" ht="12.95" customHeight="1" thickBot="1" x14ac:dyDescent="0.25"/>
    <row r="4" spans="1:15" s="26" customFormat="1" ht="12.95" customHeight="1" thickTop="1" thickBot="1" x14ac:dyDescent="0.25">
      <c r="A4" s="29" t="s">
        <v>0</v>
      </c>
      <c r="C4" s="30">
        <v>26417.805</v>
      </c>
      <c r="D4" s="31">
        <v>13.7783</v>
      </c>
    </row>
    <row r="5" spans="1:15" s="26" customFormat="1" ht="12.95" customHeight="1" thickTop="1" x14ac:dyDescent="0.2">
      <c r="A5" s="32" t="s">
        <v>28</v>
      </c>
      <c r="C5" s="33">
        <v>-9.5</v>
      </c>
      <c r="D5" s="26" t="s">
        <v>29</v>
      </c>
    </row>
    <row r="6" spans="1:15" s="26" customFormat="1" ht="12.95" customHeight="1" x14ac:dyDescent="0.2">
      <c r="A6" s="29" t="s">
        <v>1</v>
      </c>
    </row>
    <row r="7" spans="1:15" s="26" customFormat="1" ht="12.95" customHeight="1" x14ac:dyDescent="0.2">
      <c r="A7" s="26" t="s">
        <v>2</v>
      </c>
      <c r="C7" s="58">
        <v>52513.759721564071</v>
      </c>
      <c r="D7" s="35" t="s">
        <v>51</v>
      </c>
    </row>
    <row r="8" spans="1:15" s="26" customFormat="1" ht="12.95" customHeight="1" x14ac:dyDescent="0.2">
      <c r="A8" s="26" t="s">
        <v>3</v>
      </c>
      <c r="C8" s="58">
        <v>13.77821842567046</v>
      </c>
      <c r="D8" s="35" t="s">
        <v>51</v>
      </c>
    </row>
    <row r="9" spans="1:15" s="26" customFormat="1" ht="12.95" customHeight="1" x14ac:dyDescent="0.2">
      <c r="A9" s="36" t="s">
        <v>32</v>
      </c>
      <c r="C9" s="37">
        <v>21</v>
      </c>
      <c r="D9" s="38" t="str">
        <f>"F"&amp;C9</f>
        <v>F21</v>
      </c>
      <c r="E9" s="39" t="str">
        <f>"G"&amp;C9</f>
        <v>G21</v>
      </c>
    </row>
    <row r="10" spans="1:15" s="26" customFormat="1" ht="12.95" customHeight="1" thickBot="1" x14ac:dyDescent="0.25">
      <c r="C10" s="40" t="s">
        <v>19</v>
      </c>
      <c r="D10" s="40" t="s">
        <v>20</v>
      </c>
    </row>
    <row r="11" spans="1:15" s="26" customFormat="1" ht="12.95" customHeight="1" x14ac:dyDescent="0.2">
      <c r="A11" s="26" t="s">
        <v>15</v>
      </c>
      <c r="C11" s="39">
        <f ca="1">INTERCEPT(INDIRECT($E$9):G992,INDIRECT($D$9):F992)</f>
        <v>3.54088320030498E-12</v>
      </c>
      <c r="D11" s="28"/>
    </row>
    <row r="12" spans="1:15" s="26" customFormat="1" ht="12.95" customHeight="1" x14ac:dyDescent="0.2">
      <c r="A12" s="26" t="s">
        <v>16</v>
      </c>
      <c r="C12" s="39">
        <f ca="1">SLOPE(INDIRECT($E$9):G992,INDIRECT($D$9):F992)</f>
        <v>9.3801443771843245E-16</v>
      </c>
      <c r="D12" s="28"/>
    </row>
    <row r="13" spans="1:15" s="26" customFormat="1" ht="12.95" customHeight="1" x14ac:dyDescent="0.2">
      <c r="A13" s="26" t="s">
        <v>18</v>
      </c>
      <c r="C13" s="28" t="s">
        <v>13</v>
      </c>
    </row>
    <row r="14" spans="1:15" s="26" customFormat="1" ht="12.95" customHeight="1" x14ac:dyDescent="0.2"/>
    <row r="15" spans="1:15" s="26" customFormat="1" ht="12.95" customHeight="1" x14ac:dyDescent="0.2">
      <c r="A15" s="41" t="s">
        <v>17</v>
      </c>
      <c r="C15" s="42">
        <f ca="1">(C7+C11)+(C8+C12)*INT(MAX(F21:F3533))</f>
        <v>52513.759721564071</v>
      </c>
      <c r="E15" s="43" t="s">
        <v>34</v>
      </c>
      <c r="F15" s="44">
        <v>1</v>
      </c>
    </row>
    <row r="16" spans="1:15" s="26" customFormat="1" ht="12.95" customHeight="1" x14ac:dyDescent="0.2">
      <c r="A16" s="29" t="s">
        <v>4</v>
      </c>
      <c r="C16" s="45">
        <f ca="1">+C8+C12</f>
        <v>13.778218425670461</v>
      </c>
      <c r="E16" s="43" t="s">
        <v>30</v>
      </c>
      <c r="F16" s="45">
        <f ca="1">NOW()+15018.5+$C$5/24</f>
        <v>60373.828578935179</v>
      </c>
    </row>
    <row r="17" spans="1:18" s="26" customFormat="1" ht="12.95" customHeight="1" thickBot="1" x14ac:dyDescent="0.25">
      <c r="A17" s="43" t="s">
        <v>27</v>
      </c>
      <c r="C17" s="26">
        <f>COUNT(C21:C2191)</f>
        <v>15</v>
      </c>
      <c r="E17" s="43" t="s">
        <v>35</v>
      </c>
      <c r="F17" s="46">
        <f ca="1">ROUND(2*(F16-$C$7)/$C$8,0)/2+F15</f>
        <v>571.5</v>
      </c>
    </row>
    <row r="18" spans="1:18" s="26" customFormat="1" ht="12.95" customHeight="1" thickTop="1" thickBot="1" x14ac:dyDescent="0.25">
      <c r="A18" s="29" t="s">
        <v>5</v>
      </c>
      <c r="C18" s="47">
        <f ca="1">+C15</f>
        <v>52513.759721564071</v>
      </c>
      <c r="D18" s="48">
        <f ca="1">+C16</f>
        <v>13.778218425670461</v>
      </c>
      <c r="E18" s="43" t="s">
        <v>36</v>
      </c>
      <c r="F18" s="39">
        <f ca="1">ROUND(2*(F16-$C$15)/$C$16,0)/2+F15</f>
        <v>571.5</v>
      </c>
    </row>
    <row r="19" spans="1:18" s="26" customFormat="1" ht="12.95" customHeight="1" thickTop="1" x14ac:dyDescent="0.2">
      <c r="E19" s="43" t="s">
        <v>31</v>
      </c>
      <c r="F19" s="49">
        <f ca="1">+$C$15+$C$16*F18-15018.5-$C$5/24</f>
        <v>45369.907385168073</v>
      </c>
    </row>
    <row r="20" spans="1:18" s="26" customFormat="1" ht="12.95" customHeight="1" thickBot="1" x14ac:dyDescent="0.25">
      <c r="A20" s="40" t="s">
        <v>6</v>
      </c>
      <c r="B20" s="40" t="s">
        <v>7</v>
      </c>
      <c r="C20" s="40" t="s">
        <v>8</v>
      </c>
      <c r="D20" s="40" t="s">
        <v>12</v>
      </c>
      <c r="E20" s="40" t="s">
        <v>9</v>
      </c>
      <c r="F20" s="40" t="s">
        <v>10</v>
      </c>
      <c r="G20" s="40" t="s">
        <v>11</v>
      </c>
      <c r="H20" s="50" t="s">
        <v>37</v>
      </c>
      <c r="I20" s="50" t="s">
        <v>38</v>
      </c>
      <c r="J20" s="50" t="s">
        <v>39</v>
      </c>
      <c r="K20" s="50" t="s">
        <v>40</v>
      </c>
      <c r="L20" s="50" t="s">
        <v>24</v>
      </c>
      <c r="M20" s="50" t="s">
        <v>25</v>
      </c>
      <c r="N20" s="50" t="s">
        <v>26</v>
      </c>
      <c r="O20" s="50" t="s">
        <v>22</v>
      </c>
      <c r="P20" s="51" t="s">
        <v>21</v>
      </c>
      <c r="Q20" s="40" t="s">
        <v>14</v>
      </c>
      <c r="R20" s="52" t="s">
        <v>33</v>
      </c>
    </row>
    <row r="21" spans="1:18" s="26" customFormat="1" ht="12.95" customHeight="1" x14ac:dyDescent="0.2">
      <c r="A21" s="53" t="s">
        <v>56</v>
      </c>
      <c r="B21" s="54" t="s">
        <v>103</v>
      </c>
      <c r="C21" s="55">
        <v>26114.491999999998</v>
      </c>
      <c r="D21" s="34"/>
      <c r="E21" s="26">
        <f t="shared" ref="E21:E35" si="0">+(C21-C$7)/C$8</f>
        <v>-1916.0146040636935</v>
      </c>
      <c r="F21" s="26">
        <f t="shared" ref="F21:F35" si="1">ROUND(2*E21,0)/2</f>
        <v>-1916</v>
      </c>
      <c r="G21" s="26">
        <f t="shared" ref="G21:G35" si="2">+C21-(C$7+F21*C$8)</f>
        <v>-0.20121797947285813</v>
      </c>
      <c r="H21" s="26">
        <f t="shared" ref="H21:H35" si="3">+G21</f>
        <v>-0.20121797947285813</v>
      </c>
      <c r="O21" s="26">
        <f t="shared" ref="O21:O35" ca="1" si="4">+C$11+C$12*$F21</f>
        <v>1.7436475376364635E-12</v>
      </c>
      <c r="Q21" s="56">
        <f t="shared" ref="Q21:Q35" si="5">+C21-15018.5</f>
        <v>11095.991999999998</v>
      </c>
    </row>
    <row r="22" spans="1:18" s="26" customFormat="1" ht="12.95" customHeight="1" x14ac:dyDescent="0.2">
      <c r="A22" s="53" t="s">
        <v>62</v>
      </c>
      <c r="B22" s="54" t="s">
        <v>103</v>
      </c>
      <c r="C22" s="55">
        <v>26417.805</v>
      </c>
      <c r="D22" s="34"/>
      <c r="E22" s="26">
        <f t="shared" si="0"/>
        <v>-1894.0006548991996</v>
      </c>
      <c r="F22" s="26">
        <f t="shared" si="1"/>
        <v>-1894</v>
      </c>
      <c r="G22" s="26">
        <f t="shared" si="2"/>
        <v>-9.0233442206226755E-3</v>
      </c>
      <c r="H22" s="26">
        <f t="shared" si="3"/>
        <v>-9.0233442206226755E-3</v>
      </c>
      <c r="O22" s="26">
        <f t="shared" ca="1" si="4"/>
        <v>1.764283855266269E-12</v>
      </c>
      <c r="Q22" s="56">
        <f t="shared" si="5"/>
        <v>11399.305</v>
      </c>
    </row>
    <row r="23" spans="1:18" s="26" customFormat="1" ht="12.95" customHeight="1" x14ac:dyDescent="0.2">
      <c r="A23" s="53" t="s">
        <v>67</v>
      </c>
      <c r="B23" s="54" t="s">
        <v>103</v>
      </c>
      <c r="C23" s="55">
        <v>26707.27</v>
      </c>
      <c r="D23" s="34"/>
      <c r="E23" s="26">
        <f t="shared" si="0"/>
        <v>-1872.9917703644117</v>
      </c>
      <c r="F23" s="26">
        <f t="shared" si="1"/>
        <v>-1873</v>
      </c>
      <c r="G23" s="26">
        <f t="shared" si="2"/>
        <v>0.11338971670193132</v>
      </c>
      <c r="H23" s="26">
        <f t="shared" si="3"/>
        <v>0.11338971670193132</v>
      </c>
      <c r="O23" s="26">
        <f t="shared" ca="1" si="4"/>
        <v>1.783982158458356E-12</v>
      </c>
      <c r="Q23" s="56">
        <f t="shared" si="5"/>
        <v>11688.77</v>
      </c>
    </row>
    <row r="24" spans="1:18" s="26" customFormat="1" ht="12.95" customHeight="1" x14ac:dyDescent="0.2">
      <c r="A24" s="53" t="s">
        <v>67</v>
      </c>
      <c r="B24" s="54" t="s">
        <v>103</v>
      </c>
      <c r="C24" s="55">
        <v>26762.15</v>
      </c>
      <c r="D24" s="34"/>
      <c r="E24" s="26">
        <f t="shared" si="0"/>
        <v>-1869.0086719474382</v>
      </c>
      <c r="F24" s="26">
        <f t="shared" si="1"/>
        <v>-1869</v>
      </c>
      <c r="G24" s="26">
        <f t="shared" si="2"/>
        <v>-0.11948398598178755</v>
      </c>
      <c r="H24" s="26">
        <f t="shared" si="3"/>
        <v>-0.11948398598178755</v>
      </c>
      <c r="O24" s="26">
        <f t="shared" ca="1" si="4"/>
        <v>1.7877342162092298E-12</v>
      </c>
      <c r="Q24" s="56">
        <f t="shared" si="5"/>
        <v>11743.650000000001</v>
      </c>
    </row>
    <row r="25" spans="1:18" s="26" customFormat="1" ht="12.95" customHeight="1" x14ac:dyDescent="0.2">
      <c r="A25" s="53" t="s">
        <v>67</v>
      </c>
      <c r="B25" s="54" t="s">
        <v>103</v>
      </c>
      <c r="C25" s="55">
        <v>26776.15</v>
      </c>
      <c r="D25" s="34"/>
      <c r="E25" s="26">
        <f t="shared" si="0"/>
        <v>-1867.9925754124961</v>
      </c>
      <c r="F25" s="26">
        <f t="shared" si="1"/>
        <v>-1868</v>
      </c>
      <c r="G25" s="26">
        <f t="shared" si="2"/>
        <v>0.10229758834975655</v>
      </c>
      <c r="H25" s="26">
        <f t="shared" si="3"/>
        <v>0.10229758834975655</v>
      </c>
      <c r="O25" s="26">
        <f t="shared" ca="1" si="4"/>
        <v>1.7886722306469481E-12</v>
      </c>
      <c r="Q25" s="56">
        <f t="shared" si="5"/>
        <v>11757.650000000001</v>
      </c>
    </row>
    <row r="26" spans="1:18" s="26" customFormat="1" ht="12.95" customHeight="1" x14ac:dyDescent="0.2">
      <c r="A26" s="53" t="s">
        <v>67</v>
      </c>
      <c r="B26" s="54" t="s">
        <v>103</v>
      </c>
      <c r="C26" s="55">
        <v>26982.45</v>
      </c>
      <c r="D26" s="34"/>
      <c r="E26" s="26">
        <f t="shared" si="0"/>
        <v>-1853.0196671868841</v>
      </c>
      <c r="F26" s="26">
        <f t="shared" si="1"/>
        <v>-1853</v>
      </c>
      <c r="G26" s="26">
        <f t="shared" si="2"/>
        <v>-0.27097879670691327</v>
      </c>
      <c r="H26" s="26">
        <f t="shared" si="3"/>
        <v>-0.27097879670691327</v>
      </c>
      <c r="O26" s="26">
        <f t="shared" ca="1" si="4"/>
        <v>1.8027424472127247E-12</v>
      </c>
      <c r="Q26" s="56">
        <f t="shared" si="5"/>
        <v>11963.95</v>
      </c>
    </row>
    <row r="27" spans="1:18" s="26" customFormat="1" ht="12.95" customHeight="1" x14ac:dyDescent="0.2">
      <c r="A27" s="53" t="s">
        <v>67</v>
      </c>
      <c r="B27" s="54" t="s">
        <v>103</v>
      </c>
      <c r="C27" s="55">
        <v>27093.24</v>
      </c>
      <c r="D27" s="34"/>
      <c r="E27" s="26">
        <f t="shared" si="0"/>
        <v>-1844.9787146792953</v>
      </c>
      <c r="F27" s="26">
        <f t="shared" si="1"/>
        <v>-1845</v>
      </c>
      <c r="G27" s="26">
        <f t="shared" si="2"/>
        <v>0.2932737979281228</v>
      </c>
      <c r="H27" s="26">
        <f t="shared" si="3"/>
        <v>0.2932737979281228</v>
      </c>
      <c r="O27" s="26">
        <f t="shared" ca="1" si="4"/>
        <v>1.8102465627144721E-12</v>
      </c>
      <c r="Q27" s="56">
        <f t="shared" si="5"/>
        <v>12074.740000000002</v>
      </c>
    </row>
    <row r="28" spans="1:18" s="26" customFormat="1" ht="12.95" customHeight="1" x14ac:dyDescent="0.2">
      <c r="A28" s="53" t="s">
        <v>67</v>
      </c>
      <c r="B28" s="54" t="s">
        <v>103</v>
      </c>
      <c r="C28" s="55">
        <v>27368.5</v>
      </c>
      <c r="D28" s="34"/>
      <c r="E28" s="26">
        <f t="shared" si="0"/>
        <v>-1825.0008052358542</v>
      </c>
      <c r="F28" s="26">
        <f t="shared" si="1"/>
        <v>-1825</v>
      </c>
      <c r="G28" s="26">
        <f t="shared" si="2"/>
        <v>-1.1094715482613537E-2</v>
      </c>
      <c r="H28" s="26">
        <f t="shared" si="3"/>
        <v>-1.1094715482613537E-2</v>
      </c>
      <c r="O28" s="26">
        <f t="shared" ca="1" si="4"/>
        <v>1.8290068514688408E-12</v>
      </c>
      <c r="Q28" s="56">
        <f t="shared" si="5"/>
        <v>12350</v>
      </c>
    </row>
    <row r="29" spans="1:18" s="26" customFormat="1" ht="12.95" customHeight="1" x14ac:dyDescent="0.2">
      <c r="A29" s="53" t="s">
        <v>87</v>
      </c>
      <c r="B29" s="54" t="s">
        <v>103</v>
      </c>
      <c r="C29" s="55">
        <v>27533.847000000002</v>
      </c>
      <c r="D29" s="34"/>
      <c r="E29" s="26">
        <f t="shared" si="0"/>
        <v>-1813.0001971099196</v>
      </c>
      <c r="F29" s="26">
        <f t="shared" si="1"/>
        <v>-1813</v>
      </c>
      <c r="G29" s="26">
        <f t="shared" si="2"/>
        <v>-2.7158235243405215E-3</v>
      </c>
      <c r="H29" s="26">
        <f t="shared" si="3"/>
        <v>-2.7158235243405215E-3</v>
      </c>
      <c r="O29" s="26">
        <f t="shared" ca="1" si="4"/>
        <v>1.8402630247214621E-12</v>
      </c>
      <c r="Q29" s="56">
        <f t="shared" si="5"/>
        <v>12515.347000000002</v>
      </c>
    </row>
    <row r="30" spans="1:18" x14ac:dyDescent="0.2">
      <c r="A30" s="23" t="s">
        <v>91</v>
      </c>
      <c r="B30" s="25" t="s">
        <v>103</v>
      </c>
      <c r="C30" s="24">
        <v>27892.17</v>
      </c>
      <c r="D30" s="3"/>
      <c r="E30">
        <f t="shared" si="0"/>
        <v>-1786.9937143463426</v>
      </c>
      <c r="F30">
        <f t="shared" si="1"/>
        <v>-1787</v>
      </c>
      <c r="G30">
        <f t="shared" si="2"/>
        <v>8.6605109037918737E-2</v>
      </c>
      <c r="H30">
        <f t="shared" si="3"/>
        <v>8.6605109037918737E-2</v>
      </c>
      <c r="O30">
        <f t="shared" ca="1" si="4"/>
        <v>1.8646514001021412E-12</v>
      </c>
      <c r="Q30" s="1">
        <f t="shared" si="5"/>
        <v>12873.669999999998</v>
      </c>
    </row>
    <row r="31" spans="1:18" x14ac:dyDescent="0.2">
      <c r="A31" s="23" t="s">
        <v>67</v>
      </c>
      <c r="B31" s="25" t="s">
        <v>103</v>
      </c>
      <c r="C31" s="24">
        <v>27892.2</v>
      </c>
      <c r="D31" s="3"/>
      <c r="E31">
        <f t="shared" si="0"/>
        <v>-1786.9915369966247</v>
      </c>
      <c r="F31">
        <f t="shared" si="1"/>
        <v>-1787</v>
      </c>
      <c r="G31">
        <f t="shared" si="2"/>
        <v>0.11660510904039256</v>
      </c>
      <c r="H31">
        <f t="shared" si="3"/>
        <v>0.11660510904039256</v>
      </c>
      <c r="O31">
        <f t="shared" ca="1" si="4"/>
        <v>1.8646514001021412E-12</v>
      </c>
      <c r="Q31" s="1">
        <f t="shared" si="5"/>
        <v>12873.7</v>
      </c>
    </row>
    <row r="32" spans="1:18" x14ac:dyDescent="0.2">
      <c r="A32" s="23" t="s">
        <v>87</v>
      </c>
      <c r="B32" s="25" t="s">
        <v>103</v>
      </c>
      <c r="C32" s="24">
        <v>28208.955000000002</v>
      </c>
      <c r="D32" s="3"/>
      <c r="E32">
        <f t="shared" si="0"/>
        <v>-1764.0019900019386</v>
      </c>
      <c r="F32">
        <f t="shared" si="1"/>
        <v>-1764</v>
      </c>
      <c r="G32">
        <f t="shared" si="2"/>
        <v>-2.7418681376730092E-2</v>
      </c>
      <c r="H32">
        <f t="shared" si="3"/>
        <v>-2.7418681376730092E-2</v>
      </c>
      <c r="O32">
        <f t="shared" ca="1" si="4"/>
        <v>1.8862257321696652E-12</v>
      </c>
      <c r="Q32" s="1">
        <f t="shared" si="5"/>
        <v>13190.455000000002</v>
      </c>
    </row>
    <row r="33" spans="1:17" x14ac:dyDescent="0.2">
      <c r="A33" s="23" t="s">
        <v>87</v>
      </c>
      <c r="B33" s="25" t="s">
        <v>103</v>
      </c>
      <c r="C33" s="24">
        <v>28277.834999999999</v>
      </c>
      <c r="D33" s="3"/>
      <c r="E33">
        <f t="shared" si="0"/>
        <v>-1759.0027950500235</v>
      </c>
      <c r="F33">
        <f t="shared" si="1"/>
        <v>-1759</v>
      </c>
      <c r="G33">
        <f t="shared" si="2"/>
        <v>-3.8510809732542839E-2</v>
      </c>
      <c r="H33">
        <f t="shared" si="3"/>
        <v>-3.8510809732542839E-2</v>
      </c>
      <c r="O33">
        <f t="shared" ca="1" si="4"/>
        <v>1.8909158043582573E-12</v>
      </c>
      <c r="Q33" s="1">
        <f t="shared" si="5"/>
        <v>13259.334999999999</v>
      </c>
    </row>
    <row r="34" spans="1:17" x14ac:dyDescent="0.2">
      <c r="A34" s="23" t="s">
        <v>87</v>
      </c>
      <c r="B34" s="25" t="s">
        <v>103</v>
      </c>
      <c r="C34" s="24">
        <v>28498.303</v>
      </c>
      <c r="D34" s="3"/>
      <c r="E34">
        <f t="shared" si="0"/>
        <v>-1743.0015971310499</v>
      </c>
      <c r="F34">
        <f t="shared" si="1"/>
        <v>-1743</v>
      </c>
      <c r="G34">
        <f t="shared" si="2"/>
        <v>-2.2005620459822239E-2</v>
      </c>
      <c r="H34">
        <f t="shared" si="3"/>
        <v>-2.2005620459822239E-2</v>
      </c>
      <c r="O34">
        <f t="shared" ca="1" si="4"/>
        <v>1.9059240353617522E-12</v>
      </c>
      <c r="Q34" s="1">
        <f t="shared" si="5"/>
        <v>13479.803</v>
      </c>
    </row>
    <row r="35" spans="1:17" x14ac:dyDescent="0.2">
      <c r="A35" t="s">
        <v>51</v>
      </c>
      <c r="C35" s="3">
        <v>52513.75</v>
      </c>
      <c r="D35" s="3" t="s">
        <v>13</v>
      </c>
      <c r="E35">
        <f t="shared" si="0"/>
        <v>-7.0557482618179793E-4</v>
      </c>
      <c r="F35">
        <f t="shared" si="1"/>
        <v>0</v>
      </c>
      <c r="G35">
        <f t="shared" si="2"/>
        <v>-9.7215640707872808E-3</v>
      </c>
      <c r="H35">
        <f t="shared" si="3"/>
        <v>-9.7215640707872808E-3</v>
      </c>
      <c r="O35">
        <f t="shared" ca="1" si="4"/>
        <v>3.54088320030498E-12</v>
      </c>
      <c r="Q35" s="1">
        <f t="shared" si="5"/>
        <v>37495.25</v>
      </c>
    </row>
    <row r="36" spans="1:17" x14ac:dyDescent="0.2">
      <c r="C36" s="3"/>
      <c r="D36" s="3"/>
    </row>
    <row r="37" spans="1:17" x14ac:dyDescent="0.2">
      <c r="C37" s="3"/>
      <c r="D37" s="3"/>
    </row>
    <row r="38" spans="1:17" x14ac:dyDescent="0.2">
      <c r="C38" s="3"/>
      <c r="D38" s="3"/>
    </row>
    <row r="39" spans="1:17" x14ac:dyDescent="0.2">
      <c r="C39" s="3"/>
      <c r="D39" s="3"/>
    </row>
    <row r="40" spans="1:17" x14ac:dyDescent="0.2">
      <c r="C40" s="3"/>
      <c r="D40" s="3"/>
    </row>
    <row r="41" spans="1:17" x14ac:dyDescent="0.2">
      <c r="C41" s="3"/>
      <c r="D41" s="3"/>
    </row>
    <row r="42" spans="1:17" x14ac:dyDescent="0.2"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7"/>
  <sheetViews>
    <sheetView workbookViewId="0">
      <selection activeCell="A11" sqref="A11:C24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0" t="s">
        <v>41</v>
      </c>
      <c r="I1" s="11" t="s">
        <v>42</v>
      </c>
      <c r="J1" s="12" t="s">
        <v>40</v>
      </c>
    </row>
    <row r="2" spans="1:16" x14ac:dyDescent="0.2">
      <c r="I2" s="13" t="s">
        <v>43</v>
      </c>
      <c r="J2" s="14" t="s">
        <v>39</v>
      </c>
    </row>
    <row r="3" spans="1:16" x14ac:dyDescent="0.2">
      <c r="A3" s="15" t="s">
        <v>44</v>
      </c>
      <c r="I3" s="13" t="s">
        <v>45</v>
      </c>
      <c r="J3" s="14" t="s">
        <v>37</v>
      </c>
    </row>
    <row r="4" spans="1:16" x14ac:dyDescent="0.2">
      <c r="I4" s="13" t="s">
        <v>46</v>
      </c>
      <c r="J4" s="14" t="s">
        <v>37</v>
      </c>
    </row>
    <row r="5" spans="1:16" ht="13.5" thickBot="1" x14ac:dyDescent="0.25">
      <c r="I5" s="16" t="s">
        <v>47</v>
      </c>
      <c r="J5" s="17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24" si="0">P11</f>
        <v> HA 113.76 </v>
      </c>
      <c r="B11" s="2" t="str">
        <f t="shared" ref="B11:B24" si="1">IF(H11=INT(H11),"I","II")</f>
        <v>I</v>
      </c>
      <c r="C11" s="3">
        <f t="shared" ref="C11:C24" si="2">1*G11</f>
        <v>26114.491999999998</v>
      </c>
      <c r="D11" s="4" t="str">
        <f t="shared" ref="D11:D24" si="3">VLOOKUP(F11,I$1:J$5,2,FALSE)</f>
        <v>vis</v>
      </c>
      <c r="E11" s="18">
        <f>VLOOKUP(C11,Active!C$21:E$973,3,FALSE)</f>
        <v>-1916.0146040636935</v>
      </c>
      <c r="F11" s="2" t="s">
        <v>47</v>
      </c>
      <c r="G11" s="4" t="str">
        <f t="shared" ref="G11:G24" si="4">MID(I11,3,LEN(I11)-3)</f>
        <v>26114.492</v>
      </c>
      <c r="H11" s="3">
        <f t="shared" ref="H11:H24" si="5">1*K11</f>
        <v>-22</v>
      </c>
      <c r="I11" s="19" t="s">
        <v>52</v>
      </c>
      <c r="J11" s="20" t="s">
        <v>53</v>
      </c>
      <c r="K11" s="19">
        <v>-22</v>
      </c>
      <c r="L11" s="19" t="s">
        <v>54</v>
      </c>
      <c r="M11" s="20" t="s">
        <v>48</v>
      </c>
      <c r="N11" s="20"/>
      <c r="O11" s="21" t="s">
        <v>55</v>
      </c>
      <c r="P11" s="21" t="s">
        <v>56</v>
      </c>
    </row>
    <row r="12" spans="1:16" ht="12.75" customHeight="1" thickBot="1" x14ac:dyDescent="0.25">
      <c r="A12" s="3" t="str">
        <f t="shared" si="0"/>
        <v> SAC 18.61 </v>
      </c>
      <c r="B12" s="2" t="str">
        <f t="shared" si="1"/>
        <v>I</v>
      </c>
      <c r="C12" s="3">
        <f t="shared" si="2"/>
        <v>26417.805</v>
      </c>
      <c r="D12" s="4" t="str">
        <f t="shared" si="3"/>
        <v>vis</v>
      </c>
      <c r="E12" s="18">
        <f>VLOOKUP(C12,Active!C$21:E$973,3,FALSE)</f>
        <v>-1894.0006548991996</v>
      </c>
      <c r="F12" s="2" t="s">
        <v>47</v>
      </c>
      <c r="G12" s="4" t="str">
        <f t="shared" si="4"/>
        <v>26417.805</v>
      </c>
      <c r="H12" s="3">
        <f t="shared" si="5"/>
        <v>0</v>
      </c>
      <c r="I12" s="19" t="s">
        <v>57</v>
      </c>
      <c r="J12" s="20" t="s">
        <v>58</v>
      </c>
      <c r="K12" s="19">
        <v>0</v>
      </c>
      <c r="L12" s="19" t="s">
        <v>59</v>
      </c>
      <c r="M12" s="20" t="s">
        <v>60</v>
      </c>
      <c r="N12" s="20"/>
      <c r="O12" s="21" t="s">
        <v>61</v>
      </c>
      <c r="P12" s="21" t="s">
        <v>62</v>
      </c>
    </row>
    <row r="13" spans="1:16" ht="12.75" customHeight="1" thickBot="1" x14ac:dyDescent="0.25">
      <c r="A13" s="3" t="str">
        <f t="shared" si="0"/>
        <v> PSMO 8.2.52 </v>
      </c>
      <c r="B13" s="2" t="str">
        <f t="shared" si="1"/>
        <v>I</v>
      </c>
      <c r="C13" s="3">
        <f t="shared" si="2"/>
        <v>26707.27</v>
      </c>
      <c r="D13" s="4" t="str">
        <f t="shared" si="3"/>
        <v>vis</v>
      </c>
      <c r="E13" s="18">
        <f>VLOOKUP(C13,Active!C$21:E$973,3,FALSE)</f>
        <v>-1872.9917703644117</v>
      </c>
      <c r="F13" s="2" t="s">
        <v>47</v>
      </c>
      <c r="G13" s="4" t="str">
        <f t="shared" si="4"/>
        <v>26707.27</v>
      </c>
      <c r="H13" s="3">
        <f t="shared" si="5"/>
        <v>21</v>
      </c>
      <c r="I13" s="19" t="s">
        <v>63</v>
      </c>
      <c r="J13" s="20" t="s">
        <v>64</v>
      </c>
      <c r="K13" s="19">
        <v>21</v>
      </c>
      <c r="L13" s="19" t="s">
        <v>65</v>
      </c>
      <c r="M13" s="20" t="s">
        <v>60</v>
      </c>
      <c r="N13" s="20"/>
      <c r="O13" s="21" t="s">
        <v>66</v>
      </c>
      <c r="P13" s="21" t="s">
        <v>67</v>
      </c>
    </row>
    <row r="14" spans="1:16" ht="12.75" customHeight="1" thickBot="1" x14ac:dyDescent="0.25">
      <c r="A14" s="3" t="str">
        <f t="shared" si="0"/>
        <v> PSMO 8.2.52 </v>
      </c>
      <c r="B14" s="2" t="str">
        <f t="shared" si="1"/>
        <v>I</v>
      </c>
      <c r="C14" s="3">
        <f t="shared" si="2"/>
        <v>26762.15</v>
      </c>
      <c r="D14" s="4" t="str">
        <f t="shared" si="3"/>
        <v>vis</v>
      </c>
      <c r="E14" s="18">
        <f>VLOOKUP(C14,Active!C$21:E$973,3,FALSE)</f>
        <v>-1869.0086719474382</v>
      </c>
      <c r="F14" s="2" t="s">
        <v>47</v>
      </c>
      <c r="G14" s="4" t="str">
        <f t="shared" si="4"/>
        <v>26762.15</v>
      </c>
      <c r="H14" s="3">
        <f t="shared" si="5"/>
        <v>25</v>
      </c>
      <c r="I14" s="19" t="s">
        <v>68</v>
      </c>
      <c r="J14" s="20" t="s">
        <v>69</v>
      </c>
      <c r="K14" s="19">
        <v>25</v>
      </c>
      <c r="L14" s="19" t="s">
        <v>70</v>
      </c>
      <c r="M14" s="20" t="s">
        <v>60</v>
      </c>
      <c r="N14" s="20"/>
      <c r="O14" s="21" t="s">
        <v>66</v>
      </c>
      <c r="P14" s="21" t="s">
        <v>67</v>
      </c>
    </row>
    <row r="15" spans="1:16" ht="12.75" customHeight="1" thickBot="1" x14ac:dyDescent="0.25">
      <c r="A15" s="3" t="str">
        <f t="shared" si="0"/>
        <v> PSMO 8.2.52 </v>
      </c>
      <c r="B15" s="2" t="str">
        <f t="shared" si="1"/>
        <v>I</v>
      </c>
      <c r="C15" s="3">
        <f t="shared" si="2"/>
        <v>26776.15</v>
      </c>
      <c r="D15" s="4" t="str">
        <f t="shared" si="3"/>
        <v>vis</v>
      </c>
      <c r="E15" s="18">
        <f>VLOOKUP(C15,Active!C$21:E$973,3,FALSE)</f>
        <v>-1867.9925754124961</v>
      </c>
      <c r="F15" s="2" t="s">
        <v>47</v>
      </c>
      <c r="G15" s="4" t="str">
        <f t="shared" si="4"/>
        <v>26776.15</v>
      </c>
      <c r="H15" s="3">
        <f t="shared" si="5"/>
        <v>26</v>
      </c>
      <c r="I15" s="19" t="s">
        <v>71</v>
      </c>
      <c r="J15" s="20" t="s">
        <v>72</v>
      </c>
      <c r="K15" s="19">
        <v>26</v>
      </c>
      <c r="L15" s="19" t="s">
        <v>73</v>
      </c>
      <c r="M15" s="20" t="s">
        <v>60</v>
      </c>
      <c r="N15" s="20"/>
      <c r="O15" s="21" t="s">
        <v>66</v>
      </c>
      <c r="P15" s="21" t="s">
        <v>67</v>
      </c>
    </row>
    <row r="16" spans="1:16" ht="12.75" customHeight="1" thickBot="1" x14ac:dyDescent="0.25">
      <c r="A16" s="3" t="str">
        <f t="shared" si="0"/>
        <v> PSMO 8.2.52 </v>
      </c>
      <c r="B16" s="2" t="str">
        <f t="shared" si="1"/>
        <v>I</v>
      </c>
      <c r="C16" s="3">
        <f t="shared" si="2"/>
        <v>26982.45</v>
      </c>
      <c r="D16" s="4" t="str">
        <f t="shared" si="3"/>
        <v>vis</v>
      </c>
      <c r="E16" s="18">
        <f>VLOOKUP(C16,Active!C$21:E$973,3,FALSE)</f>
        <v>-1853.0196671868841</v>
      </c>
      <c r="F16" s="2" t="s">
        <v>47</v>
      </c>
      <c r="G16" s="4" t="str">
        <f t="shared" si="4"/>
        <v>26982.45</v>
      </c>
      <c r="H16" s="3">
        <f t="shared" si="5"/>
        <v>41</v>
      </c>
      <c r="I16" s="19" t="s">
        <v>74</v>
      </c>
      <c r="J16" s="20" t="s">
        <v>75</v>
      </c>
      <c r="K16" s="19">
        <v>41</v>
      </c>
      <c r="L16" s="19" t="s">
        <v>76</v>
      </c>
      <c r="M16" s="20" t="s">
        <v>60</v>
      </c>
      <c r="N16" s="20"/>
      <c r="O16" s="21" t="s">
        <v>66</v>
      </c>
      <c r="P16" s="21" t="s">
        <v>67</v>
      </c>
    </row>
    <row r="17" spans="1:16" ht="12.75" customHeight="1" thickBot="1" x14ac:dyDescent="0.25">
      <c r="A17" s="3" t="str">
        <f t="shared" si="0"/>
        <v> PSMO 8.2.52 </v>
      </c>
      <c r="B17" s="2" t="str">
        <f t="shared" si="1"/>
        <v>I</v>
      </c>
      <c r="C17" s="3">
        <f t="shared" si="2"/>
        <v>27093.24</v>
      </c>
      <c r="D17" s="4" t="str">
        <f t="shared" si="3"/>
        <v>vis</v>
      </c>
      <c r="E17" s="18">
        <f>VLOOKUP(C17,Active!C$21:E$973,3,FALSE)</f>
        <v>-1844.9787146792953</v>
      </c>
      <c r="F17" s="2" t="s">
        <v>47</v>
      </c>
      <c r="G17" s="4" t="str">
        <f t="shared" si="4"/>
        <v>27093.24</v>
      </c>
      <c r="H17" s="3">
        <f t="shared" si="5"/>
        <v>49</v>
      </c>
      <c r="I17" s="19" t="s">
        <v>77</v>
      </c>
      <c r="J17" s="20" t="s">
        <v>78</v>
      </c>
      <c r="K17" s="19">
        <v>49</v>
      </c>
      <c r="L17" s="19" t="s">
        <v>79</v>
      </c>
      <c r="M17" s="20" t="s">
        <v>60</v>
      </c>
      <c r="N17" s="20"/>
      <c r="O17" s="21" t="s">
        <v>66</v>
      </c>
      <c r="P17" s="21" t="s">
        <v>67</v>
      </c>
    </row>
    <row r="18" spans="1:16" ht="12.75" customHeight="1" thickBot="1" x14ac:dyDescent="0.25">
      <c r="A18" s="3" t="str">
        <f t="shared" si="0"/>
        <v> PSMO 8.2.52 </v>
      </c>
      <c r="B18" s="2" t="str">
        <f t="shared" si="1"/>
        <v>I</v>
      </c>
      <c r="C18" s="3">
        <f t="shared" si="2"/>
        <v>27368.5</v>
      </c>
      <c r="D18" s="4" t="str">
        <f t="shared" si="3"/>
        <v>vis</v>
      </c>
      <c r="E18" s="18">
        <f>VLOOKUP(C18,Active!C$21:E$973,3,FALSE)</f>
        <v>-1825.0008052358542</v>
      </c>
      <c r="F18" s="2" t="s">
        <v>47</v>
      </c>
      <c r="G18" s="4" t="str">
        <f t="shared" si="4"/>
        <v>27368.50</v>
      </c>
      <c r="H18" s="3">
        <f t="shared" si="5"/>
        <v>69</v>
      </c>
      <c r="I18" s="19" t="s">
        <v>80</v>
      </c>
      <c r="J18" s="20" t="s">
        <v>81</v>
      </c>
      <c r="K18" s="19">
        <v>69</v>
      </c>
      <c r="L18" s="19" t="s">
        <v>82</v>
      </c>
      <c r="M18" s="20" t="s">
        <v>60</v>
      </c>
      <c r="N18" s="20"/>
      <c r="O18" s="21" t="s">
        <v>66</v>
      </c>
      <c r="P18" s="21" t="s">
        <v>67</v>
      </c>
    </row>
    <row r="19" spans="1:16" ht="12.75" customHeight="1" thickBot="1" x14ac:dyDescent="0.25">
      <c r="A19" s="3" t="str">
        <f t="shared" si="0"/>
        <v> AN 264.106 </v>
      </c>
      <c r="B19" s="2" t="str">
        <f t="shared" si="1"/>
        <v>I</v>
      </c>
      <c r="C19" s="3">
        <f t="shared" si="2"/>
        <v>27533.847000000002</v>
      </c>
      <c r="D19" s="4" t="str">
        <f t="shared" si="3"/>
        <v>vis</v>
      </c>
      <c r="E19" s="18">
        <f>VLOOKUP(C19,Active!C$21:E$973,3,FALSE)</f>
        <v>-1813.0001971099196</v>
      </c>
      <c r="F19" s="2" t="s">
        <v>47</v>
      </c>
      <c r="G19" s="4" t="str">
        <f t="shared" si="4"/>
        <v>27533.847</v>
      </c>
      <c r="H19" s="3">
        <f t="shared" si="5"/>
        <v>81</v>
      </c>
      <c r="I19" s="19" t="s">
        <v>83</v>
      </c>
      <c r="J19" s="20" t="s">
        <v>84</v>
      </c>
      <c r="K19" s="19">
        <v>81</v>
      </c>
      <c r="L19" s="19" t="s">
        <v>85</v>
      </c>
      <c r="M19" s="20" t="s">
        <v>60</v>
      </c>
      <c r="N19" s="20"/>
      <c r="O19" s="21" t="s">
        <v>86</v>
      </c>
      <c r="P19" s="21" t="s">
        <v>87</v>
      </c>
    </row>
    <row r="20" spans="1:16" ht="12.75" customHeight="1" thickBot="1" x14ac:dyDescent="0.25">
      <c r="A20" s="3" t="str">
        <f t="shared" si="0"/>
        <v> AA 27.161 </v>
      </c>
      <c r="B20" s="2" t="str">
        <f t="shared" si="1"/>
        <v>I</v>
      </c>
      <c r="C20" s="3">
        <f t="shared" si="2"/>
        <v>27892.17</v>
      </c>
      <c r="D20" s="4" t="str">
        <f t="shared" si="3"/>
        <v>vis</v>
      </c>
      <c r="E20" s="18">
        <f>VLOOKUP(C20,Active!C$21:E$973,3,FALSE)</f>
        <v>-1786.9937143463426</v>
      </c>
      <c r="F20" s="2" t="s">
        <v>47</v>
      </c>
      <c r="G20" s="4" t="str">
        <f t="shared" si="4"/>
        <v>27892.170</v>
      </c>
      <c r="H20" s="3">
        <f t="shared" si="5"/>
        <v>107</v>
      </c>
      <c r="I20" s="19" t="s">
        <v>88</v>
      </c>
      <c r="J20" s="20" t="s">
        <v>89</v>
      </c>
      <c r="K20" s="19">
        <v>107</v>
      </c>
      <c r="L20" s="19" t="s">
        <v>90</v>
      </c>
      <c r="M20" s="20" t="s">
        <v>60</v>
      </c>
      <c r="N20" s="20"/>
      <c r="O20" s="21" t="s">
        <v>61</v>
      </c>
      <c r="P20" s="21" t="s">
        <v>91</v>
      </c>
    </row>
    <row r="21" spans="1:16" ht="12.75" customHeight="1" thickBot="1" x14ac:dyDescent="0.25">
      <c r="A21" s="3" t="str">
        <f t="shared" si="0"/>
        <v> PSMO 8.2.52 </v>
      </c>
      <c r="B21" s="2" t="str">
        <f t="shared" si="1"/>
        <v>I</v>
      </c>
      <c r="C21" s="3">
        <f t="shared" si="2"/>
        <v>27892.2</v>
      </c>
      <c r="D21" s="4" t="str">
        <f t="shared" si="3"/>
        <v>vis</v>
      </c>
      <c r="E21" s="18">
        <f>VLOOKUP(C21,Active!C$21:E$973,3,FALSE)</f>
        <v>-1786.9915369966247</v>
      </c>
      <c r="F21" s="2" t="s">
        <v>47</v>
      </c>
      <c r="G21" s="4" t="str">
        <f t="shared" si="4"/>
        <v>27892.20</v>
      </c>
      <c r="H21" s="3">
        <f t="shared" si="5"/>
        <v>107</v>
      </c>
      <c r="I21" s="19" t="s">
        <v>92</v>
      </c>
      <c r="J21" s="20" t="s">
        <v>93</v>
      </c>
      <c r="K21" s="19">
        <v>107</v>
      </c>
      <c r="L21" s="19" t="s">
        <v>65</v>
      </c>
      <c r="M21" s="20" t="s">
        <v>60</v>
      </c>
      <c r="N21" s="20"/>
      <c r="O21" s="21" t="s">
        <v>66</v>
      </c>
      <c r="P21" s="21" t="s">
        <v>67</v>
      </c>
    </row>
    <row r="22" spans="1:16" ht="12.75" customHeight="1" thickBot="1" x14ac:dyDescent="0.25">
      <c r="A22" s="3" t="str">
        <f t="shared" si="0"/>
        <v> AN 264.106 </v>
      </c>
      <c r="B22" s="2" t="str">
        <f t="shared" si="1"/>
        <v>I</v>
      </c>
      <c r="C22" s="3">
        <f t="shared" si="2"/>
        <v>28208.955000000002</v>
      </c>
      <c r="D22" s="4" t="str">
        <f t="shared" si="3"/>
        <v>vis</v>
      </c>
      <c r="E22" s="18">
        <f>VLOOKUP(C22,Active!C$21:E$973,3,FALSE)</f>
        <v>-1764.0019900019386</v>
      </c>
      <c r="F22" s="2" t="s">
        <v>47</v>
      </c>
      <c r="G22" s="4" t="str">
        <f t="shared" si="4"/>
        <v>28208.955</v>
      </c>
      <c r="H22" s="3">
        <f t="shared" si="5"/>
        <v>130</v>
      </c>
      <c r="I22" s="19" t="s">
        <v>94</v>
      </c>
      <c r="J22" s="20" t="s">
        <v>95</v>
      </c>
      <c r="K22" s="19">
        <v>130</v>
      </c>
      <c r="L22" s="19" t="s">
        <v>96</v>
      </c>
      <c r="M22" s="20" t="s">
        <v>60</v>
      </c>
      <c r="N22" s="20"/>
      <c r="O22" s="21" t="s">
        <v>86</v>
      </c>
      <c r="P22" s="21" t="s">
        <v>87</v>
      </c>
    </row>
    <row r="23" spans="1:16" ht="12.75" customHeight="1" thickBot="1" x14ac:dyDescent="0.25">
      <c r="A23" s="3" t="str">
        <f t="shared" si="0"/>
        <v> AN 264.106 </v>
      </c>
      <c r="B23" s="2" t="str">
        <f t="shared" si="1"/>
        <v>I</v>
      </c>
      <c r="C23" s="3">
        <f t="shared" si="2"/>
        <v>28277.834999999999</v>
      </c>
      <c r="D23" s="4" t="str">
        <f t="shared" si="3"/>
        <v>vis</v>
      </c>
      <c r="E23" s="18">
        <f>VLOOKUP(C23,Active!C$21:E$973,3,FALSE)</f>
        <v>-1759.0027950500235</v>
      </c>
      <c r="F23" s="2" t="s">
        <v>47</v>
      </c>
      <c r="G23" s="4" t="str">
        <f t="shared" si="4"/>
        <v>28277.835</v>
      </c>
      <c r="H23" s="3">
        <f t="shared" si="5"/>
        <v>135</v>
      </c>
      <c r="I23" s="19" t="s">
        <v>97</v>
      </c>
      <c r="J23" s="20" t="s">
        <v>98</v>
      </c>
      <c r="K23" s="19">
        <v>135</v>
      </c>
      <c r="L23" s="19" t="s">
        <v>99</v>
      </c>
      <c r="M23" s="20" t="s">
        <v>60</v>
      </c>
      <c r="N23" s="20"/>
      <c r="O23" s="21" t="s">
        <v>86</v>
      </c>
      <c r="P23" s="21" t="s">
        <v>87</v>
      </c>
    </row>
    <row r="24" spans="1:16" ht="12.75" customHeight="1" thickBot="1" x14ac:dyDescent="0.25">
      <c r="A24" s="3" t="str">
        <f t="shared" si="0"/>
        <v> AN 264.106 </v>
      </c>
      <c r="B24" s="2" t="str">
        <f t="shared" si="1"/>
        <v>I</v>
      </c>
      <c r="C24" s="3">
        <f t="shared" si="2"/>
        <v>28498.303</v>
      </c>
      <c r="D24" s="4" t="str">
        <f t="shared" si="3"/>
        <v>vis</v>
      </c>
      <c r="E24" s="18">
        <f>VLOOKUP(C24,Active!C$21:E$973,3,FALSE)</f>
        <v>-1743.0015971310499</v>
      </c>
      <c r="F24" s="2" t="s">
        <v>47</v>
      </c>
      <c r="G24" s="4" t="str">
        <f t="shared" si="4"/>
        <v>28498.303</v>
      </c>
      <c r="H24" s="3">
        <f t="shared" si="5"/>
        <v>151</v>
      </c>
      <c r="I24" s="19" t="s">
        <v>100</v>
      </c>
      <c r="J24" s="20" t="s">
        <v>101</v>
      </c>
      <c r="K24" s="19">
        <v>151</v>
      </c>
      <c r="L24" s="19" t="s">
        <v>102</v>
      </c>
      <c r="M24" s="20" t="s">
        <v>60</v>
      </c>
      <c r="N24" s="20"/>
      <c r="O24" s="21" t="s">
        <v>86</v>
      </c>
      <c r="P24" s="21" t="s">
        <v>87</v>
      </c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2024-03-04T06:53:09Z</dcterms:modified>
</cp:coreProperties>
</file>