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70B832E-61A5-4894-AC90-87DC948295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C9" i="1"/>
  <c r="D9" i="1"/>
  <c r="Q22" i="1"/>
  <c r="C21" i="1"/>
  <c r="E21" i="1"/>
  <c r="F21" i="1"/>
  <c r="A21" i="1"/>
  <c r="C7" i="1"/>
  <c r="G21" i="1"/>
  <c r="I21" i="1"/>
  <c r="C8" i="1"/>
  <c r="F17" i="1"/>
  <c r="C17" i="1"/>
  <c r="Q21" i="1"/>
  <c r="E22" i="1"/>
  <c r="F22" i="1"/>
  <c r="G22" i="1"/>
  <c r="E23" i="1"/>
  <c r="F23" i="1"/>
  <c r="G23" i="1"/>
  <c r="I23" i="1"/>
  <c r="K22" i="1"/>
  <c r="C12" i="1"/>
  <c r="C11" i="1"/>
  <c r="O24" i="1" l="1"/>
  <c r="O21" i="1"/>
  <c r="O23" i="1"/>
  <c r="O22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<sst xmlns="http://schemas.openxmlformats.org/spreadsheetml/2006/main" count="59" uniqueCount="51">
  <si>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</si>
  <si>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</si>
  <si>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</si>
  <si>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</si>
  <si>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</si>
  <si>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</si>
  <si>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</si>
  <si>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</si>
  <si>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</si>
  <si>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</si>
  <si>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</si>
  <si>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</si>
  <si>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</si>
  <si>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</si>
  <si>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</si>
  <si>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</si>
  <si>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</si>
  <si>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</si>
  <si>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</si>
  <si>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</si>
  <si>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</si>
  <si>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</si>
  <si>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</si>
  <si>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</si>
  <si>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</si>
  <si>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</si>
  <si>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</si>
  <si>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</si>
  <si>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</si>
  <si>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</si>
  <si>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</si>
  <si>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</si>
  <si>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</si>
  <si>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V1044 Sco / GSC 6212-0852 </t>
  </si>
  <si>
    <t>Sco_V1044.xls</t>
  </si>
  <si>
    <t>EA</t>
  </si>
  <si>
    <t>IBVS 5557 Eph.</t>
  </si>
  <si>
    <t>IBVS 5557</t>
  </si>
  <si>
    <t>Sco</t>
  </si>
  <si>
    <t>I</t>
  </si>
  <si>
    <t>IBVS 5690</t>
  </si>
  <si>
    <t>OEJV 0181</t>
  </si>
  <si>
    <t>pg</t>
  </si>
  <si>
    <t>vis</t>
  </si>
  <si>
    <t>PE</t>
  </si>
  <si>
    <t>CCD</t>
  </si>
  <si>
    <t>GCVS</t>
  </si>
  <si>
    <t>ASAS</t>
  </si>
  <si>
    <t>JBAV, 63</t>
  </si>
  <si>
    <t>II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</si>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</sst>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13" fillId="0" borderId="0"/>
    <xf numFmtId="0" fontId="13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8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7" fillId="0" borderId="0" xfId="41" applyFont="1" applyAlignment="1">
      <alignment vertical="center"/>
    </xf>
    <xf numFmtId="0" fontId="27" fillId="0" borderId="0" xfId="41" applyFont="1" applyAlignment="1">
      <alignment horizontal="center" vertical="center"/>
    </xf>
    <xf numFmtId="0" fontId="27" fillId="0" borderId="0" xfId="41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29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9-41D7-89D3-58EE567F80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2">
                  <c:v>-1.544999991892837E-3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9-41D7-89D3-58EE567F80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9-41D7-89D3-58EE567F80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4.50999999884516E-3</c:v>
                </c:pt>
                <c:pt idx="3">
                  <c:v>-4.3559999976423569E-3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9-41D7-89D3-58EE567F80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9-41D7-89D3-58EE567F80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9-41D7-89D3-58EE567F80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9-41D7-89D3-58EE567F80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2.4641951084081867E-3</c:v>
                </c:pt>
                <c:pt idx="1">
                  <c:v>1.9805962096582008E-3</c:v>
                </c:pt>
                <c:pt idx="2">
                  <c:v>-1.9748778018157387E-3</c:v>
                </c:pt>
                <c:pt idx="3">
                  <c:v>-3.8609135069406827E-3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9-41D7-89D3-58EE567F8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933080"/>
        <c:axId val="1"/>
      </c:scatterChart>
      <c:valAx>
        <c:axId val="73693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93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0A2884-E1A1-C65E-DB4F-B1161B8F6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9: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35" t="s">
        <v>33</v>
      </c>
      <c r="F1" s="3" t="s">
        <v>34</v>
      </c>
      <c r="G1" s="4" t="s">
        <v>35</v>
      </c>
      <c r="H1" s="5" t="s">
        <v>36</v>
      </c>
      <c r="I1" s="4">
        <v>53064.835999999996</v>
      </c>
      <c r="J1" s="4">
        <v>0.91483300000000001</v>
      </c>
      <c r="K1" s="4" t="s">
        <v>37</v>
      </c>
      <c r="L1" s="4" t="s">
        <v>38</v>
      </c>
    </row>
    <row r="2" spans="1:12" s="3" customFormat="1" ht="12.95" customHeight="1" x14ac:dyDescent="0.2">
      <c r="A2" s="3" t="s">
        <v>22</v>
      </c>
      <c r="B2" s="3" t="s">
        <v>35</v>
      </c>
      <c r="D2" s="4" t="s">
        <v>38</v>
      </c>
      <c r="E2" s="3" t="s">
        <v>34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5" t="s">
        <v>36</v>
      </c>
      <c r="C4" s="8">
        <v>53064.835999999996</v>
      </c>
      <c r="D4" s="9">
        <v>0.91483300000000001</v>
      </c>
    </row>
    <row r="5" spans="1:12" s="3" customFormat="1" ht="12.95" customHeight="1" thickTop="1" x14ac:dyDescent="0.2">
      <c r="A5" s="5" t="s">
        <v>27</v>
      </c>
      <c r="C5" s="10">
        <v>-9.5</v>
      </c>
      <c r="D5" s="3" t="s">
        <v>28</v>
      </c>
    </row>
    <row r="6" spans="1:12" s="3" customFormat="1" ht="12.95" customHeight="1" x14ac:dyDescent="0.2">
      <c r="A6" s="11" t="s">
        <v>0</v>
      </c>
    </row>
    <row r="7" spans="1:12" s="3" customFormat="1" ht="12.95" customHeight="1" x14ac:dyDescent="0.2">
      <c r="A7" s="3" t="s">
        <v>1</v>
      </c>
      <c r="C7" s="3">
        <f>+C4</f>
        <v>53064.835999999996</v>
      </c>
    </row>
    <row r="8" spans="1:12" s="3" customFormat="1" ht="12.95" customHeight="1" x14ac:dyDescent="0.2">
      <c r="A8" s="3" t="s">
        <v>2</v>
      </c>
      <c r="C8" s="3">
        <f>+D4</f>
        <v>0.91483300000000001</v>
      </c>
      <c r="D8" s="3" t="s">
        <v>46</v>
      </c>
    </row>
    <row r="9" spans="1:12" s="3" customFormat="1" ht="12.95" customHeight="1" x14ac:dyDescent="0.2">
      <c r="A9" s="12" t="s">
        <v>32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12" s="3" customFormat="1" ht="12.95" customHeight="1" thickBot="1" x14ac:dyDescent="0.25">
      <c r="C10" s="16" t="s">
        <v>18</v>
      </c>
      <c r="D10" s="16" t="s">
        <v>19</v>
      </c>
    </row>
    <row r="11" spans="1:12" s="3" customFormat="1" ht="12.95" customHeight="1" x14ac:dyDescent="0.2">
      <c r="A11" s="3" t="s">
        <v>14</v>
      </c>
      <c r="C11" s="15">
        <f ca="1">INTERCEPT(INDIRECT($D$9):G992,INDIRECT($C$9):F992)</f>
        <v>2.4641951084081867E-3</v>
      </c>
      <c r="D11" s="17"/>
    </row>
    <row r="12" spans="1:12" s="3" customFormat="1" ht="12.95" customHeight="1" x14ac:dyDescent="0.2">
      <c r="A12" s="3" t="s">
        <v>15</v>
      </c>
      <c r="C12" s="15">
        <f ca="1">SLOPE(INDIRECT($D$9):G992,INDIRECT($C$9):F992)</f>
        <v>-9.1245075235846352E-7</v>
      </c>
      <c r="D12" s="17"/>
    </row>
    <row r="13" spans="1:12" s="3" customFormat="1" ht="12.95" customHeight="1" x14ac:dyDescent="0.2">
      <c r="A13" s="3" t="s">
        <v>17</v>
      </c>
      <c r="C13" s="17" t="s">
        <v>12</v>
      </c>
    </row>
    <row r="14" spans="1:12" s="3" customFormat="1" ht="12.95" customHeight="1" x14ac:dyDescent="0.2"/>
    <row r="15" spans="1:12" s="3" customFormat="1" ht="12.95" customHeight="1" x14ac:dyDescent="0.2">
      <c r="A15" s="18" t="s">
        <v>16</v>
      </c>
      <c r="C15" s="19">
        <f ca="1">(C7+C11)+(C8+C12)*INT(MAX(F21:F3533))</f>
        <v>59406.454495086487</v>
      </c>
      <c r="E15" s="17"/>
    </row>
    <row r="16" spans="1:12" s="3" customFormat="1" ht="12.95" customHeight="1" x14ac:dyDescent="0.2">
      <c r="A16" s="11" t="s">
        <v>3</v>
      </c>
      <c r="C16" s="20">
        <f ca="1">+C8+C12</f>
        <v>0.91483208754924761</v>
      </c>
    </row>
    <row r="17" spans="1:18" s="3" customFormat="1" ht="12.95" customHeight="1" thickBot="1" x14ac:dyDescent="0.25">
      <c r="A17" s="21" t="s">
        <v>26</v>
      </c>
      <c r="C17" s="3">
        <f>COUNT(C21:C2191)</f>
        <v>4</v>
      </c>
      <c r="E17" s="21" t="s">
        <v>29</v>
      </c>
      <c r="F17" s="22">
        <f ca="1">TODAY()+15018.5-B5/24</f>
        <v>60374.5</v>
      </c>
    </row>
    <row r="18" spans="1:18" s="3" customFormat="1" ht="12.95" customHeight="1" thickTop="1" thickBot="1" x14ac:dyDescent="0.25">
      <c r="A18" s="11" t="s">
        <v>4</v>
      </c>
      <c r="C18" s="23">
        <f ca="1">+C15</f>
        <v>59406.454495086487</v>
      </c>
      <c r="D18" s="24">
        <f ca="1">+C16</f>
        <v>0.91483208754924761</v>
      </c>
      <c r="E18" s="21" t="s">
        <v>30</v>
      </c>
      <c r="F18" s="22">
        <f ca="1">ROUND(2*(F17-C15)/C16,0)/2+1</f>
        <v>1059</v>
      </c>
    </row>
    <row r="19" spans="1:18" s="3" customFormat="1" ht="12.95" customHeight="1" thickTop="1" x14ac:dyDescent="0.2">
      <c r="E19" s="21" t="s">
        <v>31</v>
      </c>
      <c r="F19" s="25">
        <f ca="1">+C15+C16*F18-15018.5-C5/24</f>
        <v>45357.157509134478</v>
      </c>
    </row>
    <row r="20" spans="1:18" s="3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26" t="s">
        <v>42</v>
      </c>
      <c r="I20" s="26" t="s">
        <v>43</v>
      </c>
      <c r="J20" s="26" t="s">
        <v>44</v>
      </c>
      <c r="K20" s="26" t="s">
        <v>45</v>
      </c>
      <c r="L20" s="26" t="s">
        <v>23</v>
      </c>
      <c r="M20" s="26" t="s">
        <v>24</v>
      </c>
      <c r="N20" s="26" t="s">
        <v>25</v>
      </c>
      <c r="O20" s="26" t="s">
        <v>21</v>
      </c>
      <c r="P20" s="27" t="s">
        <v>20</v>
      </c>
      <c r="Q20" s="16" t="s">
        <v>13</v>
      </c>
    </row>
    <row r="21" spans="1:18" s="3" customFormat="1" ht="12.95" customHeight="1" x14ac:dyDescent="0.2">
      <c r="A21" s="3" t="str">
        <f>$K$1</f>
        <v>IBVS 5557</v>
      </c>
      <c r="C21" s="4">
        <f>+$C$4</f>
        <v>53064.835999999996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I21" s="3">
        <f>+G21</f>
        <v>0</v>
      </c>
      <c r="O21" s="3">
        <f ca="1">+C$11+C$12*$F21</f>
        <v>2.4641951084081867E-3</v>
      </c>
      <c r="Q21" s="28">
        <f>+C21-15018.5</f>
        <v>38046.335999999996</v>
      </c>
      <c r="R21" s="3" t="s">
        <v>47</v>
      </c>
    </row>
    <row r="22" spans="1:18" s="3" customFormat="1" ht="12.95" customHeight="1" x14ac:dyDescent="0.2">
      <c r="A22" s="3" t="s">
        <v>40</v>
      </c>
      <c r="B22" s="29" t="s">
        <v>39</v>
      </c>
      <c r="C22" s="30">
        <v>53549.701999999997</v>
      </c>
      <c r="D22" s="30">
        <v>4.0000000000000002E-4</v>
      </c>
      <c r="E22" s="3">
        <f>+(C22-C$7)/C$8</f>
        <v>530.00492986151767</v>
      </c>
      <c r="F22" s="3">
        <f>ROUND(2*E22,0)/2</f>
        <v>530</v>
      </c>
      <c r="G22" s="3">
        <f>+C22-(C$7+F22*C$8)</f>
        <v>4.50999999884516E-3</v>
      </c>
      <c r="K22" s="3">
        <f>+G22</f>
        <v>4.50999999884516E-3</v>
      </c>
      <c r="O22" s="3">
        <f ca="1">+C$11+C$12*$F22</f>
        <v>1.9805962096582008E-3</v>
      </c>
      <c r="Q22" s="28">
        <f>+C22-15018.5</f>
        <v>38531.201999999997</v>
      </c>
      <c r="R22" s="3" t="s">
        <v>45</v>
      </c>
    </row>
    <row r="23" spans="1:18" s="3" customFormat="1" ht="12.95" customHeight="1" x14ac:dyDescent="0.2">
      <c r="A23" s="31" t="s">
        <v>41</v>
      </c>
      <c r="B23" s="32" t="s">
        <v>39</v>
      </c>
      <c r="C23" s="33">
        <v>57515.497000000003</v>
      </c>
      <c r="D23" s="33">
        <v>2E-3</v>
      </c>
      <c r="E23" s="3">
        <f>+(C23-C$7)/C$8</f>
        <v>4864.9983111671827</v>
      </c>
      <c r="F23" s="3">
        <f>ROUND(2*E23,0)/2</f>
        <v>4865</v>
      </c>
      <c r="G23" s="3">
        <f>+C23-(C$7+F23*C$8)</f>
        <v>-1.544999991892837E-3</v>
      </c>
      <c r="I23" s="3">
        <f>+G23</f>
        <v>-1.544999991892837E-3</v>
      </c>
      <c r="O23" s="3">
        <f ca="1">+C$11+C$12*$F23</f>
        <v>-1.9748778018157387E-3</v>
      </c>
      <c r="Q23" s="28">
        <f>+C23-15018.5</f>
        <v>42496.997000000003</v>
      </c>
      <c r="R23" s="34" t="s">
        <v>50</v>
      </c>
    </row>
    <row r="24" spans="1:18" s="3" customFormat="1" ht="12.95" customHeight="1" x14ac:dyDescent="0.2">
      <c r="A24" s="6" t="s">
        <v>48</v>
      </c>
      <c r="B24" s="7" t="s">
        <v>49</v>
      </c>
      <c r="C24" s="36">
        <v>59406.453999999998</v>
      </c>
      <c r="D24" s="37">
        <v>5.0000000000000001E-3</v>
      </c>
      <c r="E24" s="3">
        <f>+(C24-C$7)/C$8</f>
        <v>6931.9952384752214</v>
      </c>
      <c r="F24" s="3">
        <f>ROUND(2*E24,0)/2</f>
        <v>6932</v>
      </c>
      <c r="G24" s="3">
        <f>+C24-(C$7+F24*C$8)</f>
        <v>-4.3559999976423569E-3</v>
      </c>
      <c r="K24" s="3">
        <f>+G24</f>
        <v>-4.3559999976423569E-3</v>
      </c>
      <c r="O24" s="3">
        <f ca="1">+C$11+C$12*$F24</f>
        <v>-3.8609135069406827E-3</v>
      </c>
      <c r="Q24" s="28">
        <f>+C24-15018.5</f>
        <v>44387.953999999998</v>
      </c>
      <c r="R24" s="34" t="s">
        <v>45</v>
      </c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2024-03-05T05:08:47Z</dcterms:modified>
</cp:coreProperties>
</file>