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3FF72F-123D-4750-A29E-C12F5F1A64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C17" i="1"/>
  <c r="A21" i="1"/>
  <c r="H20" i="1"/>
  <c r="C21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C11" i="1"/>
  <c r="C12" i="1"/>
  <c r="C16" i="1" l="1"/>
  <c r="D18" i="1" s="1"/>
  <c r="O26" i="1"/>
  <c r="S26" i="1" s="1"/>
  <c r="O25" i="1"/>
  <c r="S25" i="1" s="1"/>
  <c r="O22" i="1"/>
  <c r="S22" i="1" s="1"/>
  <c r="O27" i="1"/>
  <c r="S27" i="1" s="1"/>
  <c r="O24" i="1"/>
  <c r="S24" i="1" s="1"/>
  <c r="C15" i="1"/>
  <c r="O21" i="1"/>
  <c r="S21" i="1" s="1"/>
  <c r="O23" i="1"/>
  <c r="S23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<sst xmlns="http://schemas.openxmlformats.org/spreadsheetml/2006/main" count="68" uniqueCount="56">
  <si>
    <t>G5623-1173_Sco.xls</t>
  </si>
  <si>
    <t>System Type:</t>
  </si>
  <si>
    <t>EA</t>
  </si>
  <si>
    <t>Constell:</t>
  </si>
  <si>
    <t>Sco</t>
  </si>
  <si>
    <t>G5623-1173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</si>
  <si>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</si>
  <si>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</si>
  <si>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</si>
  <si>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</si>
  <si>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</si>
  <si>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</si>
  <si>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</si>
  <si>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</si>
  <si>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</si>
  <si>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</si>
  <si>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</si>
  <si>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</si>
  <si>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</si>
  <si>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</si>
  <si>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</si>
  <si>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</si>
  <si>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</si>
  <si>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</si>
  <si>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</si>
  <si>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</si>
  <si>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</si>
  <si>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</si>
  <si>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</si>
  <si>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</si>
  <si>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</si>
  <si>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</si>
  <si>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</si>
  <si>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</si>
  <si>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</si>
  <si>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</si>
  <si>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</si>
  <si>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</si>
  <si>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</si>
  <si>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</si>
  <si>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</si>
  <si>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</si>
  <si>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</si>
  <si>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</si>
  <si>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</si>
  <si>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</si>
  <si>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</si>
  <si>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5992</t>
  </si>
  <si>
    <t>I</t>
  </si>
  <si>
    <t>IBVS 6029</t>
  </si>
  <si>
    <t>VSB 069</t>
  </si>
  <si>
    <t>B</t>
  </si>
  <si>
    <t>Ic</t>
  </si>
  <si>
    <t>U</t>
  </si>
  <si>
    <t>V1667 Sco / GSC 5623-1173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</si>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</sst>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33">
    <xf numFmtId="0" fontId="0" fillId="0" borderId="0" xfId="0">
      <alignment vertical="top"/>
    </xf>
    <xf numFmtId="0" fontId="0" fillId="0" borderId="0" xfId="0" applyAlignment="1"/>
    <xf numFmtId="0" fontId="3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V1667 Sco - O-C Diagr.</a:t>
            </a:r>
          </a:p>
        </c:rich>
      </c:tx>
      <c:layout>
        <c:manualLayout>
          <c:xMode val="edge"/>
          <c:yMode val="edge"/>
          <c:x val="0.33581011883172851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6974490372954"/>
          <c:y val="0.14114177169295281"/>
          <c:w val="0.80188274385464076"/>
          <c:h val="0.64564722202517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4A-41D1-B11C-A83273CC195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1">
                  <c:v>6.490999847301282E-3</c:v>
                </c:pt>
                <c:pt idx="2">
                  <c:v>6.9169998532743193E-3</c:v>
                </c:pt>
                <c:pt idx="3">
                  <c:v>1.131099984922912E-2</c:v>
                </c:pt>
                <c:pt idx="4">
                  <c:v>1.1810999851149973E-2</c:v>
                </c:pt>
                <c:pt idx="5">
                  <c:v>1.2410999850544613E-2</c:v>
                </c:pt>
                <c:pt idx="6">
                  <c:v>1.5610999849741347E-2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4A-41D1-B11C-A83273CC195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4A-41D1-B11C-A83273CC195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4A-41D1-B11C-A83273CC195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4A-41D1-B11C-A83273CC19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4A-41D1-B11C-A83273CC19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4A-41D1-B11C-A83273CC19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-2.6529270750152469E-4</c:v>
                </c:pt>
                <c:pt idx="1">
                  <c:v>6.6584095428815918E-3</c:v>
                </c:pt>
                <c:pt idx="2">
                  <c:v>7.3730686407749947E-3</c:v>
                </c:pt>
                <c:pt idx="3">
                  <c:v>1.2696453406271398E-2</c:v>
                </c:pt>
                <c:pt idx="4">
                  <c:v>1.2696453406271398E-2</c:v>
                </c:pt>
                <c:pt idx="5">
                  <c:v>1.2696453406271398E-2</c:v>
                </c:pt>
                <c:pt idx="6">
                  <c:v>1.2696453406271398E-2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4A-41D1-B11C-A83273CC195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5871</c:v>
                </c:pt>
                <c:pt idx="2">
                  <c:v>6477</c:v>
                </c:pt>
                <c:pt idx="3">
                  <c:v>10991</c:v>
                </c:pt>
                <c:pt idx="4">
                  <c:v>10991</c:v>
                </c:pt>
                <c:pt idx="5">
                  <c:v>10991</c:v>
                </c:pt>
                <c:pt idx="6">
                  <c:v>10991</c:v>
                </c:pt>
              </c:numCache>
            </c:numRef>
          </c:xVal>
          <c:yVal>
            <c:numRef>
              <c:f>Active!$R$21:$R$500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4A-41D1-B11C-A83273CC1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149888"/>
        <c:axId val="1"/>
      </c:scatterChart>
      <c:valAx>
        <c:axId val="67314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3151556278349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74591381872213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149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9332093146601"/>
          <c:y val="0.90090342310814753"/>
          <c:w val="0.725111909302570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8B35DE-68F9-92F1-D05B-C262A8DB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5" customFormat="1" ht="20.25" x14ac:dyDescent="0.2">
      <c r="A1" s="31" t="s">
        <v>54</v>
      </c>
      <c r="E1" s="5" t="s">
        <v>0</v>
      </c>
    </row>
    <row r="2" spans="1:7" s="5" customFormat="1" ht="12.95" customHeight="1" x14ac:dyDescent="0.2">
      <c r="A2" s="5" t="s">
        <v>1</v>
      </c>
      <c r="B2" s="5" t="s">
        <v>2</v>
      </c>
      <c r="C2" s="6" t="s">
        <v>3</v>
      </c>
      <c r="D2" s="7" t="s">
        <v>4</v>
      </c>
      <c r="E2" s="2" t="s">
        <v>5</v>
      </c>
      <c r="F2" s="5" t="e">
        <v>#N/A</v>
      </c>
    </row>
    <row r="3" spans="1:7" s="5" customFormat="1" ht="12.95" customHeight="1" x14ac:dyDescent="0.2"/>
    <row r="4" spans="1:7" s="5" customFormat="1" ht="12.95" customHeight="1" x14ac:dyDescent="0.2">
      <c r="A4" s="8" t="s">
        <v>6</v>
      </c>
      <c r="C4" s="9" t="s">
        <v>7</v>
      </c>
      <c r="D4" s="10" t="s">
        <v>7</v>
      </c>
    </row>
    <row r="5" spans="1:7" s="5" customFormat="1" ht="12.95" customHeight="1" x14ac:dyDescent="0.2"/>
    <row r="6" spans="1:7" s="5" customFormat="1" ht="12.95" customHeight="1" x14ac:dyDescent="0.2">
      <c r="A6" s="8" t="s">
        <v>8</v>
      </c>
    </row>
    <row r="7" spans="1:7" s="5" customFormat="1" ht="12.95" customHeight="1" x14ac:dyDescent="0.2">
      <c r="A7" s="5" t="s">
        <v>9</v>
      </c>
      <c r="C7" s="32">
        <v>51926.160000000149</v>
      </c>
      <c r="D7" s="12" t="s">
        <v>10</v>
      </c>
    </row>
    <row r="8" spans="1:7" s="5" customFormat="1" ht="12.95" customHeight="1" x14ac:dyDescent="0.2">
      <c r="A8" s="5" t="s">
        <v>11</v>
      </c>
      <c r="C8" s="32">
        <v>0.63697899999999996</v>
      </c>
      <c r="D8" s="12" t="s">
        <v>10</v>
      </c>
    </row>
    <row r="9" spans="1:7" s="5" customFormat="1" ht="12.95" customHeight="1" x14ac:dyDescent="0.2">
      <c r="A9" s="13" t="s">
        <v>12</v>
      </c>
      <c r="C9" s="14">
        <v>-9.5</v>
      </c>
      <c r="D9" s="5" t="s">
        <v>13</v>
      </c>
    </row>
    <row r="10" spans="1:7" s="5" customFormat="1" ht="12.95" customHeight="1" x14ac:dyDescent="0.2">
      <c r="C10" s="15" t="s">
        <v>14</v>
      </c>
      <c r="D10" s="15" t="s">
        <v>15</v>
      </c>
    </row>
    <row r="11" spans="1:7" s="5" customFormat="1" ht="12.95" customHeight="1" x14ac:dyDescent="0.2">
      <c r="A11" s="5" t="s">
        <v>16</v>
      </c>
      <c r="C11" s="16">
        <f ca="1">INTERCEPT(INDIRECT($G$11):G992,INDIRECT($F$11):F992)</f>
        <v>-2.6529270750152469E-4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17</v>
      </c>
      <c r="C12" s="16">
        <f ca="1">SLOPE(INDIRECT($G$11):G992,INDIRECT($F$11):F992)</f>
        <v>1.1793054420683216E-6</v>
      </c>
      <c r="D12" s="7"/>
    </row>
    <row r="13" spans="1:7" s="5" customFormat="1" ht="12.95" customHeight="1" x14ac:dyDescent="0.2">
      <c r="A13" s="5" t="s">
        <v>18</v>
      </c>
      <c r="C13" s="7" t="s">
        <v>19</v>
      </c>
      <c r="D13" s="18" t="s">
        <v>20</v>
      </c>
      <c r="E13" s="14">
        <v>1</v>
      </c>
    </row>
    <row r="14" spans="1:7" s="5" customFormat="1" ht="12.95" customHeight="1" x14ac:dyDescent="0.2">
      <c r="D14" s="18" t="s">
        <v>21</v>
      </c>
      <c r="E14" s="16">
        <f ca="1">NOW()+15018.5+$C$9/24</f>
        <v>60373.858330902774</v>
      </c>
    </row>
    <row r="15" spans="1:7" s="5" customFormat="1" ht="12.95" customHeight="1" x14ac:dyDescent="0.2">
      <c r="A15" s="8" t="s">
        <v>22</v>
      </c>
      <c r="C15" s="19">
        <f ca="1">(C7+C11)+(C8+C12)*INT(MAX(F21:F3533))</f>
        <v>58927.208885453554</v>
      </c>
      <c r="D15" s="18" t="s">
        <v>23</v>
      </c>
      <c r="E15" s="16">
        <f ca="1">ROUND(2*(E14-$C$7)/$C$8,0)/2+E13</f>
        <v>13263</v>
      </c>
    </row>
    <row r="16" spans="1:7" s="5" customFormat="1" ht="12.95" customHeight="1" x14ac:dyDescent="0.2">
      <c r="A16" s="8" t="s">
        <v>24</v>
      </c>
      <c r="C16" s="19">
        <f ca="1">+C8+C12</f>
        <v>0.63698017930544204</v>
      </c>
      <c r="D16" s="18" t="s">
        <v>25</v>
      </c>
      <c r="E16" s="16">
        <f ca="1">ROUND(2*(E14-$C$15)/$C$16,0)/2+E13</f>
        <v>2272</v>
      </c>
    </row>
    <row r="17" spans="1:19" s="5" customFormat="1" ht="12.95" customHeight="1" x14ac:dyDescent="0.2">
      <c r="A17" s="18" t="s">
        <v>26</v>
      </c>
      <c r="C17" s="5">
        <f>COUNT(C21:C2191)</f>
        <v>7</v>
      </c>
      <c r="D17" s="18" t="s">
        <v>27</v>
      </c>
      <c r="E17" s="20">
        <f ca="1">+$C$15+$C$16*E16-15018.5-$C$9/24</f>
        <v>45356.323686168857</v>
      </c>
    </row>
    <row r="18" spans="1:19" s="5" customFormat="1" ht="12.95" customHeight="1" x14ac:dyDescent="0.2">
      <c r="A18" s="8" t="s">
        <v>28</v>
      </c>
      <c r="C18" s="21">
        <f ca="1">+C15</f>
        <v>58927.208885453554</v>
      </c>
      <c r="D18" s="22">
        <f ca="1">+C16</f>
        <v>0.63698017930544204</v>
      </c>
      <c r="E18" s="23" t="s">
        <v>29</v>
      </c>
    </row>
    <row r="19" spans="1:19" s="5" customFormat="1" ht="12.95" customHeight="1" x14ac:dyDescent="0.2">
      <c r="A19" s="18" t="s">
        <v>30</v>
      </c>
      <c r="E19" s="24">
        <v>21</v>
      </c>
      <c r="S19" s="5">
        <f ca="1">SQRT(SUM(S21:S50)/(COUNT(S21:S50)-1))</f>
        <v>1.3896030144360646E-3</v>
      </c>
    </row>
    <row r="20" spans="1:19" s="5" customFormat="1" ht="12.95" customHeight="1" x14ac:dyDescent="0.2">
      <c r="A20" s="15" t="s">
        <v>31</v>
      </c>
      <c r="B20" s="15" t="s">
        <v>32</v>
      </c>
      <c r="C20" s="15" t="s">
        <v>33</v>
      </c>
      <c r="D20" s="15" t="s">
        <v>34</v>
      </c>
      <c r="E20" s="15" t="s">
        <v>35</v>
      </c>
      <c r="F20" s="15" t="s">
        <v>36</v>
      </c>
      <c r="G20" s="15" t="s">
        <v>37</v>
      </c>
      <c r="H20" s="25" t="str">
        <f>A21</f>
        <v>VSX</v>
      </c>
      <c r="I20" s="25" t="s">
        <v>55</v>
      </c>
      <c r="J20" s="25" t="s">
        <v>38</v>
      </c>
      <c r="K20" s="25" t="s">
        <v>39</v>
      </c>
      <c r="L20" s="25" t="s">
        <v>40</v>
      </c>
      <c r="M20" s="25" t="s">
        <v>41</v>
      </c>
      <c r="N20" s="25" t="s">
        <v>42</v>
      </c>
      <c r="O20" s="25" t="s">
        <v>43</v>
      </c>
      <c r="P20" s="25" t="s">
        <v>44</v>
      </c>
      <c r="Q20" s="15" t="s">
        <v>45</v>
      </c>
      <c r="R20" s="26" t="s">
        <v>46</v>
      </c>
    </row>
    <row r="21" spans="1:19" s="5" customFormat="1" ht="12.95" customHeight="1" x14ac:dyDescent="0.2">
      <c r="A21" s="5" t="str">
        <f>D7</f>
        <v>VSX</v>
      </c>
      <c r="C21" s="11">
        <f>C$7</f>
        <v>51926.160000000149</v>
      </c>
      <c r="D21" s="11" t="s">
        <v>19</v>
      </c>
      <c r="E21" s="5">
        <f t="shared" ref="E21:E27" si="0">+(C21-C$7)/C$8</f>
        <v>0</v>
      </c>
      <c r="F21" s="5">
        <f t="shared" ref="F21:F27" si="1">ROUND(2*E21,0)/2</f>
        <v>0</v>
      </c>
      <c r="G21" s="5">
        <f t="shared" ref="G21:G27" si="2">+C21-(C$7+F21*C$8)</f>
        <v>0</v>
      </c>
      <c r="H21" s="5">
        <f>+G21</f>
        <v>0</v>
      </c>
      <c r="O21" s="5">
        <f t="shared" ref="O21:O27" ca="1" si="3">+C$11+C$12*$F21</f>
        <v>-2.6529270750152469E-4</v>
      </c>
      <c r="Q21" s="27">
        <f t="shared" ref="Q21:Q27" si="4">+C21-15018.5</f>
        <v>36907.660000000149</v>
      </c>
      <c r="S21" s="5">
        <f t="shared" ref="S21:S27" ca="1" si="5">+(O21-G21)^2</f>
        <v>7.0380220653489535E-8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55665.870199999998</v>
      </c>
      <c r="D22" s="3">
        <v>2.0000000000000001E-4</v>
      </c>
      <c r="E22" s="5">
        <f t="shared" si="0"/>
        <v>5871.0101902886108</v>
      </c>
      <c r="F22" s="5">
        <f t="shared" si="1"/>
        <v>5871</v>
      </c>
      <c r="G22" s="5">
        <f t="shared" si="2"/>
        <v>6.490999847301282E-3</v>
      </c>
      <c r="I22" s="5">
        <f t="shared" ref="I22:I27" si="6">+G22</f>
        <v>6.490999847301282E-3</v>
      </c>
      <c r="O22" s="5">
        <f t="shared" ca="1" si="3"/>
        <v>6.6584095428815918E-3</v>
      </c>
      <c r="Q22" s="27">
        <f t="shared" si="4"/>
        <v>40647.370199999998</v>
      </c>
      <c r="S22" s="5">
        <f t="shared" ca="1" si="5"/>
        <v>2.8026006174291998E-8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56051.8799</v>
      </c>
      <c r="D23" s="3">
        <v>2.0000000000000001E-4</v>
      </c>
      <c r="E23" s="5">
        <f t="shared" si="0"/>
        <v>6477.0108590704731</v>
      </c>
      <c r="F23" s="5">
        <f t="shared" si="1"/>
        <v>6477</v>
      </c>
      <c r="G23" s="5">
        <f t="shared" si="2"/>
        <v>6.9169998532743193E-3</v>
      </c>
      <c r="I23" s="5">
        <f t="shared" si="6"/>
        <v>6.9169998532743193E-3</v>
      </c>
      <c r="O23" s="5">
        <f t="shared" ca="1" si="3"/>
        <v>7.3730686407749947E-3</v>
      </c>
      <c r="Q23" s="27">
        <f t="shared" si="4"/>
        <v>41033.3799</v>
      </c>
      <c r="S23" s="5">
        <f t="shared" ca="1" si="5"/>
        <v>2.0799873893233616E-7</v>
      </c>
    </row>
    <row r="24" spans="1:19" s="5" customFormat="1" ht="12.95" customHeight="1" x14ac:dyDescent="0.2">
      <c r="A24" s="28" t="s">
        <v>50</v>
      </c>
      <c r="B24" s="29" t="s">
        <v>48</v>
      </c>
      <c r="C24" s="30">
        <v>58927.207499999997</v>
      </c>
      <c r="D24" s="30" t="s">
        <v>51</v>
      </c>
      <c r="E24" s="5">
        <f t="shared" si="0"/>
        <v>10991.017757257065</v>
      </c>
      <c r="F24" s="5">
        <f t="shared" si="1"/>
        <v>10991</v>
      </c>
      <c r="G24" s="5">
        <f t="shared" si="2"/>
        <v>1.131099984922912E-2</v>
      </c>
      <c r="I24" s="5">
        <f t="shared" si="6"/>
        <v>1.131099984922912E-2</v>
      </c>
      <c r="O24" s="5">
        <f t="shared" ca="1" si="3"/>
        <v>1.2696453406271398E-2</v>
      </c>
      <c r="Q24" s="27">
        <f t="shared" si="4"/>
        <v>43908.707499999997</v>
      </c>
      <c r="S24" s="5">
        <f t="shared" ca="1" si="5"/>
        <v>1.9194815587211027E-6</v>
      </c>
    </row>
    <row r="25" spans="1:19" s="5" customFormat="1" ht="12.95" customHeight="1" x14ac:dyDescent="0.2">
      <c r="A25" s="28" t="s">
        <v>50</v>
      </c>
      <c r="B25" s="29" t="s">
        <v>48</v>
      </c>
      <c r="C25" s="30">
        <v>58927.207999999999</v>
      </c>
      <c r="D25" s="30" t="s">
        <v>51</v>
      </c>
      <c r="E25" s="5">
        <f t="shared" si="0"/>
        <v>10991.018542212303</v>
      </c>
      <c r="F25" s="5">
        <f t="shared" si="1"/>
        <v>10991</v>
      </c>
      <c r="G25" s="5">
        <f t="shared" si="2"/>
        <v>1.1810999851149973E-2</v>
      </c>
      <c r="I25" s="5">
        <f t="shared" si="6"/>
        <v>1.1810999851149973E-2</v>
      </c>
      <c r="O25" s="5">
        <f t="shared" ca="1" si="3"/>
        <v>1.2696453406271398E-2</v>
      </c>
      <c r="Q25" s="27">
        <f t="shared" si="4"/>
        <v>43908.707999999999</v>
      </c>
      <c r="S25" s="5">
        <f t="shared" ca="1" si="5"/>
        <v>7.840279982771719E-7</v>
      </c>
    </row>
    <row r="26" spans="1:19" s="5" customFormat="1" ht="12.95" customHeight="1" x14ac:dyDescent="0.2">
      <c r="A26" s="28" t="s">
        <v>50</v>
      </c>
      <c r="B26" s="29" t="s">
        <v>48</v>
      </c>
      <c r="C26" s="30">
        <v>58927.208599999998</v>
      </c>
      <c r="D26" s="30" t="s">
        <v>52</v>
      </c>
      <c r="E26" s="5">
        <f t="shared" si="0"/>
        <v>10991.019484158582</v>
      </c>
      <c r="F26" s="5">
        <f t="shared" si="1"/>
        <v>10991</v>
      </c>
      <c r="G26" s="5">
        <f t="shared" si="2"/>
        <v>1.2410999850544613E-2</v>
      </c>
      <c r="I26" s="5">
        <f t="shared" si="6"/>
        <v>1.2410999850544613E-2</v>
      </c>
      <c r="O26" s="5">
        <f t="shared" ca="1" si="3"/>
        <v>1.2696453406271398E-2</v>
      </c>
      <c r="Q26" s="27">
        <f t="shared" si="4"/>
        <v>43908.708599999998</v>
      </c>
      <c r="S26" s="5">
        <f t="shared" ca="1" si="5"/>
        <v>8.1483732477065047E-8</v>
      </c>
    </row>
    <row r="27" spans="1:19" s="5" customFormat="1" ht="12.95" customHeight="1" x14ac:dyDescent="0.2">
      <c r="A27" s="28" t="s">
        <v>50</v>
      </c>
      <c r="B27" s="29" t="s">
        <v>48</v>
      </c>
      <c r="C27" s="30">
        <v>58927.211799999997</v>
      </c>
      <c r="D27" s="30" t="s">
        <v>53</v>
      </c>
      <c r="E27" s="5">
        <f t="shared" si="0"/>
        <v>10991.024507872078</v>
      </c>
      <c r="F27" s="5">
        <f t="shared" si="1"/>
        <v>10991</v>
      </c>
      <c r="G27" s="5">
        <f t="shared" si="2"/>
        <v>1.5610999849741347E-2</v>
      </c>
      <c r="I27" s="5">
        <f t="shared" si="6"/>
        <v>1.5610999849741347E-2</v>
      </c>
      <c r="O27" s="5">
        <f t="shared" ca="1" si="3"/>
        <v>1.2696453406271398E-2</v>
      </c>
      <c r="Q27" s="27">
        <f t="shared" si="4"/>
        <v>43908.711799999997</v>
      </c>
      <c r="S27" s="5">
        <f t="shared" ca="1" si="5"/>
        <v>8.4945809711433269E-6</v>
      </c>
    </row>
    <row r="28" spans="1:19" s="5" customFormat="1" ht="12.95" customHeight="1" x14ac:dyDescent="0.2"/>
    <row r="29" spans="1:19" s="5" customFormat="1" ht="12.95" customHeight="1" x14ac:dyDescent="0.2"/>
    <row r="30" spans="1:19" s="5" customFormat="1" ht="12.95" customHeight="1" x14ac:dyDescent="0.2"/>
    <row r="31" spans="1:19" s="5" customFormat="1" ht="12.95" customHeight="1" x14ac:dyDescent="0.2"/>
    <row r="32" spans="1:19" s="5" customFormat="1" ht="12.95" customHeight="1" x14ac:dyDescent="0.2"/>
    <row r="33" s="5" customFormat="1" ht="12.95" customHeight="1" x14ac:dyDescent="0.2"/>
    <row r="34" s="5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2024-03-04T07:35:59Z</dcterms:created>
  <dcterms:modified xsi:type="dcterms:W3CDTF">2024-03-04T07:35:59Z</dcterms:modified>
</cp:coreProperties>
</file>