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ABE993A-B8E3-4539-B634-0F1CD44D41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C7" i="1"/>
  <c r="C8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H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J55" i="1"/>
  <c r="E56" i="1"/>
  <c r="F56" i="1"/>
  <c r="G56" i="1"/>
  <c r="J56" i="1"/>
  <c r="E57" i="1"/>
  <c r="F57" i="1"/>
  <c r="G57" i="1"/>
  <c r="J57" i="1"/>
  <c r="E58" i="1"/>
  <c r="F58" i="1"/>
  <c r="G58" i="1"/>
  <c r="J58" i="1"/>
  <c r="E59" i="1"/>
  <c r="F59" i="1"/>
  <c r="G59" i="1"/>
  <c r="J59" i="1"/>
  <c r="E32" i="1"/>
  <c r="F32" i="1"/>
  <c r="U32" i="1"/>
  <c r="F16" i="1"/>
  <c r="F17" i="1" s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C17" i="1"/>
  <c r="Q39" i="1"/>
  <c r="Q38" i="1"/>
  <c r="Q41" i="1"/>
  <c r="Q40" i="1"/>
  <c r="Q43" i="1"/>
  <c r="Q42" i="1"/>
  <c r="Q45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37" i="1"/>
  <c r="C12" i="1"/>
  <c r="C11" i="1"/>
  <c r="O38" i="1" l="1"/>
  <c r="O56" i="1"/>
  <c r="O27" i="1"/>
  <c r="O21" i="1"/>
  <c r="O37" i="1"/>
  <c r="O43" i="1"/>
  <c r="O28" i="1"/>
  <c r="O50" i="1"/>
  <c r="O59" i="1"/>
  <c r="O52" i="1"/>
  <c r="O34" i="1"/>
  <c r="O47" i="1"/>
  <c r="O33" i="1"/>
  <c r="O35" i="1"/>
  <c r="O26" i="1"/>
  <c r="O51" i="1"/>
  <c r="O42" i="1"/>
  <c r="O36" i="1"/>
  <c r="O58" i="1"/>
  <c r="O29" i="1"/>
  <c r="O31" i="1"/>
  <c r="O55" i="1"/>
  <c r="O30" i="1"/>
  <c r="O24" i="1"/>
  <c r="O39" i="1"/>
  <c r="O25" i="1"/>
  <c r="O49" i="1"/>
  <c r="O44" i="1"/>
  <c r="O57" i="1"/>
  <c r="O23" i="1"/>
  <c r="C15" i="1"/>
  <c r="O22" i="1"/>
  <c r="O41" i="1"/>
  <c r="O46" i="1"/>
  <c r="O54" i="1"/>
  <c r="O48" i="1"/>
  <c r="O40" i="1"/>
  <c r="O45" i="1"/>
  <c r="O32" i="1"/>
  <c r="O53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<sst xmlns="http://schemas.openxmlformats.org/spreadsheetml/2006/main" count="415" uniqueCount="217">
  <si>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</si>
  <si>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</si>
  <si>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</si>
  <si>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</si>
  <si>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</si>
  <si>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</si>
  <si>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</si>
  <si>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</si>
  <si>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</si>
  <si>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</si>
  <si>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</si>
  <si>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</si>
  <si>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</si>
  <si>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</si>
  <si>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</si>
  <si>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</si>
  <si>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</si>
  <si>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</si>
  <si>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</si>
  <si>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</si>
  <si>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</si>
  <si>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</si>
  <si>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</si>
  <si>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</si>
  <si>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</si>
  <si>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</si>
  <si>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</si>
  <si>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</si>
  <si>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v</t>
  </si>
  <si>
    <t>ORION 113</t>
  </si>
  <si>
    <t>K</t>
  </si>
  <si>
    <t>Locher K</t>
  </si>
  <si>
    <t>BBSAG Bull...18</t>
  </si>
  <si>
    <t>B</t>
  </si>
  <si>
    <t>ORION 126</t>
  </si>
  <si>
    <t>Mayer E</t>
  </si>
  <si>
    <t>BBSAG Bull...31</t>
  </si>
  <si>
    <t>ORION 127</t>
  </si>
  <si>
    <t>Peter H</t>
  </si>
  <si>
    <t>BBSAG Bull...32</t>
  </si>
  <si>
    <t>BBSAG Bull.10</t>
  </si>
  <si>
    <t>BBSAG Bull.23</t>
  </si>
  <si>
    <t>IBVS 1249</t>
  </si>
  <si>
    <t>BBSAG Bull.56</t>
  </si>
  <si>
    <t>BBSAG Bull.73</t>
  </si>
  <si>
    <t>BBSAG Bull.77</t>
  </si>
  <si>
    <t>BBSAG Bull.80</t>
  </si>
  <si>
    <t>BBSAG Bull.99</t>
  </si>
  <si>
    <t>BBSAG Bull.107</t>
  </si>
  <si>
    <t>BBSAG Bull.109</t>
  </si>
  <si>
    <t>BBSAG Bull.112</t>
  </si>
  <si>
    <t># of data points:</t>
  </si>
  <si>
    <t>EA/SD</t>
  </si>
  <si>
    <t>BS Sct / gsc 5126-2949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</si>
  <si>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</si>
  <si>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</si>
  <si>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</si>
  <si>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</si>
  <si>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</si>
  <si>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</si>
  <si>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</si>
  <si>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</si>
  <si>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</si>
  <si>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</si>
  <si>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</si>
  <si>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</si>
  <si>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2418529.37 </t>
  </si>
  <si>
    <t> 10.08.1909 20:52 </t>
  </si>
  <si>
    <t> 0.03 </t>
  </si>
  <si>
    <t>P </t>
  </si>
  <si>
    <t> S.Beljawski </t>
  </si>
  <si>
    <t> AN 228.320 </t>
  </si>
  <si>
    <t>2418915.292 </t>
  </si>
  <si>
    <t> 31.08.1910 19:00 </t>
  </si>
  <si>
    <t> 0.027 </t>
  </si>
  <si>
    <t> P.T.Oosterhoff </t>
  </si>
  <si>
    <t> BAN 9.399 </t>
  </si>
  <si>
    <t>2424467.20 </t>
  </si>
  <si>
    <t> 12.11.1925 16:48 </t>
  </si>
  <si>
    <t> 0.01 </t>
  </si>
  <si>
    <t>2424696.38 </t>
  </si>
  <si>
    <t> 29.06.1926 21:07 </t>
  </si>
  <si>
    <t> -0.07 </t>
  </si>
  <si>
    <t>2424723.28 </t>
  </si>
  <si>
    <t> 26.07.1926 18:43 </t>
  </si>
  <si>
    <t> 0.08 </t>
  </si>
  <si>
    <t> W.Zessewitsch </t>
  </si>
  <si>
    <t> IODE 4.2.363 </t>
  </si>
  <si>
    <t>2424765.232 </t>
  </si>
  <si>
    <t> 06.09.1926 17:34 </t>
  </si>
  <si>
    <t> -0.000 </t>
  </si>
  <si>
    <t>V </t>
  </si>
  <si>
    <t> AC 23.4 </t>
  </si>
  <si>
    <t>2424788.18 </t>
  </si>
  <si>
    <t> 29.09.1926 16:19 </t>
  </si>
  <si>
    <t> 0.02 </t>
  </si>
  <si>
    <t> G.Lange </t>
  </si>
  <si>
    <t> AN 229.452 </t>
  </si>
  <si>
    <t>2425040.345 </t>
  </si>
  <si>
    <t> 08.06.1927 20:16 </t>
  </si>
  <si>
    <t> 0.000 </t>
  </si>
  <si>
    <t> P.ten Bruggencate </t>
  </si>
  <si>
    <t> ANBO 2.C.42 </t>
  </si>
  <si>
    <t>2425199.132 </t>
  </si>
  <si>
    <t> 14.11.1927 15:10 </t>
  </si>
  <si>
    <t> 0.215 </t>
  </si>
  <si>
    <t>2426557.305 </t>
  </si>
  <si>
    <t> 03.08.1931 19:19 </t>
  </si>
  <si>
    <t> 0.019 </t>
  </si>
  <si>
    <t> CTAD 1 </t>
  </si>
  <si>
    <t>2426576.400 </t>
  </si>
  <si>
    <t> 22.08.1931 21:36 </t>
  </si>
  <si>
    <t> 0.009 </t>
  </si>
  <si>
    <t>2426665.275 </t>
  </si>
  <si>
    <t> 19.11.1931 18:36 </t>
  </si>
  <si>
    <t> 1.001 </t>
  </si>
  <si>
    <t>2428815.502 </t>
  </si>
  <si>
    <t> 09.10.1937 00:02 </t>
  </si>
  <si>
    <t> -0.001 </t>
  </si>
  <si>
    <t>2430615.191 </t>
  </si>
  <si>
    <t> 12.09.1942 16:35 </t>
  </si>
  <si>
    <t> -0.008 </t>
  </si>
  <si>
    <t>2430932.331 </t>
  </si>
  <si>
    <t> 26.07.1943 19:56 </t>
  </si>
  <si>
    <t> -0.012 </t>
  </si>
  <si>
    <t>2434604.334 </t>
  </si>
  <si>
    <t> 14.08.1953 20:00 </t>
  </si>
  <si>
    <t> A.Szczepanowska </t>
  </si>
  <si>
    <t> AA 6.145 </t>
  </si>
  <si>
    <t>2440148.620 </t>
  </si>
  <si>
    <t> 19.10.1968 02:52 </t>
  </si>
  <si>
    <t>E </t>
  </si>
  <si>
    <t>?</t>
  </si>
  <si>
    <t> Hall &amp; Mallama </t>
  </si>
  <si>
    <t> AA 24.363 </t>
  </si>
  <si>
    <t>2440385.501 </t>
  </si>
  <si>
    <t> 13.06.1969 00:01 </t>
  </si>
  <si>
    <t> -0.022 </t>
  </si>
  <si>
    <t> K.Locher </t>
  </si>
  <si>
    <t> ORI 113 </t>
  </si>
  <si>
    <t>2441149.699 </t>
  </si>
  <si>
    <t> 17.07.1971 04:46 </t>
  </si>
  <si>
    <t> -0.026 </t>
  </si>
  <si>
    <t> E.Mayer </t>
  </si>
  <si>
    <t> ORI 126 </t>
  </si>
  <si>
    <t>2441176.460 </t>
  </si>
  <si>
    <t> 12.08.1971 23:02 </t>
  </si>
  <si>
    <t>2441176.470 </t>
  </si>
  <si>
    <t> 12.08.1971 23:16 </t>
  </si>
  <si>
    <t> -0.002 </t>
  </si>
  <si>
    <t> H.Peter </t>
  </si>
  <si>
    <t> ORI 127 </t>
  </si>
  <si>
    <t>2441837.505 </t>
  </si>
  <si>
    <t> 04.06.1973 00:07 </t>
  </si>
  <si>
    <t> BBS 10 </t>
  </si>
  <si>
    <t>2441837.507 </t>
  </si>
  <si>
    <t> 04.06.1973 00:10 </t>
  </si>
  <si>
    <t>2442628.443 </t>
  </si>
  <si>
    <t> 03.08.1975 22:37 </t>
  </si>
  <si>
    <t> -0.013 </t>
  </si>
  <si>
    <t> BBS 23 </t>
  </si>
  <si>
    <t>2442689.594 </t>
  </si>
  <si>
    <t> 04.10.1975 02:15 </t>
  </si>
  <si>
    <t> 0.002 </t>
  </si>
  <si>
    <t> A.Mallama </t>
  </si>
  <si>
    <t>IBVS 1249 </t>
  </si>
  <si>
    <t>2444806.453 </t>
  </si>
  <si>
    <t> 20.07.1981 22:52 </t>
  </si>
  <si>
    <t> 0.021 </t>
  </si>
  <si>
    <t> BBS 56 </t>
  </si>
  <si>
    <t>2445895.434 </t>
  </si>
  <si>
    <t> 13.07.1984 22:24 </t>
  </si>
  <si>
    <t> 0.014 </t>
  </si>
  <si>
    <t> BBS 73 </t>
  </si>
  <si>
    <t>2446235.505 </t>
  </si>
  <si>
    <t> 19.06.1985 00:07 </t>
  </si>
  <si>
    <t> 0.015 </t>
  </si>
  <si>
    <t> BBS 77 </t>
  </si>
  <si>
    <t>2446258.450 </t>
  </si>
  <si>
    <t> 11.07.1985 22:48 </t>
  </si>
  <si>
    <t> 0.034 </t>
  </si>
  <si>
    <t>2446598.521 </t>
  </si>
  <si>
    <t> 17.06.1986 00:30 </t>
  </si>
  <si>
    <t> 0.035 </t>
  </si>
  <si>
    <t> BBS 80 </t>
  </si>
  <si>
    <t>2448524.325 </t>
  </si>
  <si>
    <t> 24.09.1991 19:48 </t>
  </si>
  <si>
    <t> 0.050 </t>
  </si>
  <si>
    <t> BBS 99 </t>
  </si>
  <si>
    <t>2449544.528 </t>
  </si>
  <si>
    <t> 11.07.1994 00:40 </t>
  </si>
  <si>
    <t> 0.043 </t>
  </si>
  <si>
    <t> BBS 107 </t>
  </si>
  <si>
    <t>2449567.444 </t>
  </si>
  <si>
    <t> 02.08.1994 22:39 </t>
  </si>
  <si>
    <t> 0.033 </t>
  </si>
  <si>
    <t>2449842.579 </t>
  </si>
  <si>
    <t> 05.05.1995 01:53 </t>
  </si>
  <si>
    <t> 0.056 </t>
  </si>
  <si>
    <t> BBS 109 </t>
  </si>
  <si>
    <t>2450251.433 </t>
  </si>
  <si>
    <t> 16.06.1996 22:23 </t>
  </si>
  <si>
    <t> 0.062 </t>
  </si>
  <si>
    <t> BBS 112 </t>
  </si>
  <si>
    <t>I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</si>
  <si>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</si>
  <si>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</si>
  <si>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</si>
  <si>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</si>
  <si>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</si>
  <si>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</si>
  <si>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</si>
  <si>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</si>
  <si>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</si>
  <si>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</si>
  <si>
    <t>TESS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</si>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</sst>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3" fillId="2" borderId="12" xfId="7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Sct - O-C Diagr.</a:t>
            </a:r>
          </a:p>
        </c:rich>
      </c:tx>
      <c:layout>
        <c:manualLayout>
          <c:xMode val="edge"/>
          <c:yMode val="edge"/>
          <c:x val="0.3790856535089976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35315237111989"/>
          <c:y val="0.15"/>
          <c:w val="0.818628757258408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-5658</c:v>
                </c:pt>
                <c:pt idx="1">
                  <c:v>-5557</c:v>
                </c:pt>
                <c:pt idx="2">
                  <c:v>-4104</c:v>
                </c:pt>
                <c:pt idx="3">
                  <c:v>-4044</c:v>
                </c:pt>
                <c:pt idx="4">
                  <c:v>-4037</c:v>
                </c:pt>
                <c:pt idx="5">
                  <c:v>-4026</c:v>
                </c:pt>
                <c:pt idx="6">
                  <c:v>-4020</c:v>
                </c:pt>
                <c:pt idx="7">
                  <c:v>-3954</c:v>
                </c:pt>
                <c:pt idx="8">
                  <c:v>-3912.5</c:v>
                </c:pt>
                <c:pt idx="9">
                  <c:v>-3557</c:v>
                </c:pt>
                <c:pt idx="10">
                  <c:v>-3552</c:v>
                </c:pt>
                <c:pt idx="11">
                  <c:v>-3528.5</c:v>
                </c:pt>
                <c:pt idx="12">
                  <c:v>-2966</c:v>
                </c:pt>
                <c:pt idx="13">
                  <c:v>-2495</c:v>
                </c:pt>
                <c:pt idx="14">
                  <c:v>-2412</c:v>
                </c:pt>
                <c:pt idx="15">
                  <c:v>-1451</c:v>
                </c:pt>
                <c:pt idx="16">
                  <c:v>0</c:v>
                </c:pt>
                <c:pt idx="17">
                  <c:v>62</c:v>
                </c:pt>
                <c:pt idx="18">
                  <c:v>62</c:v>
                </c:pt>
                <c:pt idx="19">
                  <c:v>262</c:v>
                </c:pt>
                <c:pt idx="20">
                  <c:v>262</c:v>
                </c:pt>
                <c:pt idx="21">
                  <c:v>269</c:v>
                </c:pt>
                <c:pt idx="22">
                  <c:v>269</c:v>
                </c:pt>
                <c:pt idx="23">
                  <c:v>269</c:v>
                </c:pt>
                <c:pt idx="24">
                  <c:v>269</c:v>
                </c:pt>
                <c:pt idx="25">
                  <c:v>442</c:v>
                </c:pt>
                <c:pt idx="26">
                  <c:v>442</c:v>
                </c:pt>
                <c:pt idx="27">
                  <c:v>649</c:v>
                </c:pt>
                <c:pt idx="28">
                  <c:v>665</c:v>
                </c:pt>
                <c:pt idx="29">
                  <c:v>1219</c:v>
                </c:pt>
                <c:pt idx="30">
                  <c:v>1504</c:v>
                </c:pt>
                <c:pt idx="31">
                  <c:v>1593</c:v>
                </c:pt>
                <c:pt idx="32">
                  <c:v>1599</c:v>
                </c:pt>
                <c:pt idx="33">
                  <c:v>1688</c:v>
                </c:pt>
                <c:pt idx="34">
                  <c:v>2192</c:v>
                </c:pt>
                <c:pt idx="35">
                  <c:v>2459</c:v>
                </c:pt>
                <c:pt idx="36">
                  <c:v>2465</c:v>
                </c:pt>
                <c:pt idx="37">
                  <c:v>2537</c:v>
                </c:pt>
                <c:pt idx="38">
                  <c:v>2644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A-4152-9F9B-AC33324712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6">
                    <c:v>0</c:v>
                  </c:pt>
                  <c:pt idx="34">
                    <c:v>6.0000000000000001E-3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7.0000000000000001E-3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6">
                    <c:v>0</c:v>
                  </c:pt>
                  <c:pt idx="34">
                    <c:v>6.0000000000000001E-3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-5658</c:v>
                </c:pt>
                <c:pt idx="1">
                  <c:v>-5557</c:v>
                </c:pt>
                <c:pt idx="2">
                  <c:v>-4104</c:v>
                </c:pt>
                <c:pt idx="3">
                  <c:v>-4044</c:v>
                </c:pt>
                <c:pt idx="4">
                  <c:v>-4037</c:v>
                </c:pt>
                <c:pt idx="5">
                  <c:v>-4026</c:v>
                </c:pt>
                <c:pt idx="6">
                  <c:v>-4020</c:v>
                </c:pt>
                <c:pt idx="7">
                  <c:v>-3954</c:v>
                </c:pt>
                <c:pt idx="8">
                  <c:v>-3912.5</c:v>
                </c:pt>
                <c:pt idx="9">
                  <c:v>-3557</c:v>
                </c:pt>
                <c:pt idx="10">
                  <c:v>-3552</c:v>
                </c:pt>
                <c:pt idx="11">
                  <c:v>-3528.5</c:v>
                </c:pt>
                <c:pt idx="12">
                  <c:v>-2966</c:v>
                </c:pt>
                <c:pt idx="13">
                  <c:v>-2495</c:v>
                </c:pt>
                <c:pt idx="14">
                  <c:v>-2412</c:v>
                </c:pt>
                <c:pt idx="15">
                  <c:v>-1451</c:v>
                </c:pt>
                <c:pt idx="16">
                  <c:v>0</c:v>
                </c:pt>
                <c:pt idx="17">
                  <c:v>62</c:v>
                </c:pt>
                <c:pt idx="18">
                  <c:v>62</c:v>
                </c:pt>
                <c:pt idx="19">
                  <c:v>262</c:v>
                </c:pt>
                <c:pt idx="20">
                  <c:v>262</c:v>
                </c:pt>
                <c:pt idx="21">
                  <c:v>269</c:v>
                </c:pt>
                <c:pt idx="22">
                  <c:v>269</c:v>
                </c:pt>
                <c:pt idx="23">
                  <c:v>269</c:v>
                </c:pt>
                <c:pt idx="24">
                  <c:v>269</c:v>
                </c:pt>
                <c:pt idx="25">
                  <c:v>442</c:v>
                </c:pt>
                <c:pt idx="26">
                  <c:v>442</c:v>
                </c:pt>
                <c:pt idx="27">
                  <c:v>649</c:v>
                </c:pt>
                <c:pt idx="28">
                  <c:v>665</c:v>
                </c:pt>
                <c:pt idx="29">
                  <c:v>1219</c:v>
                </c:pt>
                <c:pt idx="30">
                  <c:v>1504</c:v>
                </c:pt>
                <c:pt idx="31">
                  <c:v>1593</c:v>
                </c:pt>
                <c:pt idx="32">
                  <c:v>1599</c:v>
                </c:pt>
                <c:pt idx="33">
                  <c:v>1688</c:v>
                </c:pt>
                <c:pt idx="34">
                  <c:v>2192</c:v>
                </c:pt>
                <c:pt idx="35">
                  <c:v>2459</c:v>
                </c:pt>
                <c:pt idx="36">
                  <c:v>2465</c:v>
                </c:pt>
                <c:pt idx="37">
                  <c:v>2537</c:v>
                </c:pt>
                <c:pt idx="38">
                  <c:v>2644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2.6843199997529155E-2</c:v>
                </c:pt>
                <c:pt idx="1">
                  <c:v>2.6792799999384442E-2</c:v>
                </c:pt>
                <c:pt idx="2">
                  <c:v>6.6815999998652842E-3</c:v>
                </c:pt>
                <c:pt idx="3">
                  <c:v>-7.3942400002124486E-2</c:v>
                </c:pt>
                <c:pt idx="4">
                  <c:v>7.8984799998579547E-2</c:v>
                </c:pt>
                <c:pt idx="5">
                  <c:v>-1.2960000094608404E-4</c:v>
                </c:pt>
                <c:pt idx="6">
                  <c:v>2.1807999997690786E-2</c:v>
                </c:pt>
                <c:pt idx="7">
                  <c:v>1.2159999823779799E-4</c:v>
                </c:pt>
                <c:pt idx="8">
                  <c:v>0.21518999999898369</c:v>
                </c:pt>
                <c:pt idx="9">
                  <c:v>1.8992799996340182E-2</c:v>
                </c:pt>
                <c:pt idx="10">
                  <c:v>8.9407999985269271E-3</c:v>
                </c:pt>
                <c:pt idx="12">
                  <c:v>-1.1536000019987114E-3</c:v>
                </c:pt>
                <c:pt idx="13">
                  <c:v>-8.0520000046817586E-3</c:v>
                </c:pt>
                <c:pt idx="14">
                  <c:v>-1.1915200004295912E-2</c:v>
                </c:pt>
                <c:pt idx="15">
                  <c:v>9.0399997134227306E-5</c:v>
                </c:pt>
                <c:pt idx="17">
                  <c:v>-2.1644800006470177E-2</c:v>
                </c:pt>
                <c:pt idx="18">
                  <c:v>-2.1644800006470177E-2</c:v>
                </c:pt>
                <c:pt idx="19">
                  <c:v>-2.5724800005264115E-2</c:v>
                </c:pt>
                <c:pt idx="20">
                  <c:v>-2.5724800005264115E-2</c:v>
                </c:pt>
                <c:pt idx="21">
                  <c:v>-1.1797600003774278E-2</c:v>
                </c:pt>
                <c:pt idx="22">
                  <c:v>-1.1797600003774278E-2</c:v>
                </c:pt>
                <c:pt idx="23">
                  <c:v>-1.7976000017370097E-3</c:v>
                </c:pt>
                <c:pt idx="24">
                  <c:v>-1.7976000017370097E-3</c:v>
                </c:pt>
                <c:pt idx="25">
                  <c:v>-1.5968000079737976E-3</c:v>
                </c:pt>
                <c:pt idx="26">
                  <c:v>4.0319999243365601E-4</c:v>
                </c:pt>
                <c:pt idx="27">
                  <c:v>-1.2749600005918182E-2</c:v>
                </c:pt>
                <c:pt idx="28">
                  <c:v>2.083999992464669E-3</c:v>
                </c:pt>
                <c:pt idx="29">
                  <c:v>2.1322399996279273E-2</c:v>
                </c:pt>
                <c:pt idx="30">
                  <c:v>1.4358399996126536E-2</c:v>
                </c:pt>
                <c:pt idx="31">
                  <c:v>1.5432799991685897E-2</c:v>
                </c:pt>
                <c:pt idx="32">
                  <c:v>3.4370399996987544E-2</c:v>
                </c:pt>
                <c:pt idx="33">
                  <c:v>3.5444799999822862E-2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BA-4152-9F9B-AC33324712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-5658</c:v>
                </c:pt>
                <c:pt idx="1">
                  <c:v>-5557</c:v>
                </c:pt>
                <c:pt idx="2">
                  <c:v>-4104</c:v>
                </c:pt>
                <c:pt idx="3">
                  <c:v>-4044</c:v>
                </c:pt>
                <c:pt idx="4">
                  <c:v>-4037</c:v>
                </c:pt>
                <c:pt idx="5">
                  <c:v>-4026</c:v>
                </c:pt>
                <c:pt idx="6">
                  <c:v>-4020</c:v>
                </c:pt>
                <c:pt idx="7">
                  <c:v>-3954</c:v>
                </c:pt>
                <c:pt idx="8">
                  <c:v>-3912.5</c:v>
                </c:pt>
                <c:pt idx="9">
                  <c:v>-3557</c:v>
                </c:pt>
                <c:pt idx="10">
                  <c:v>-3552</c:v>
                </c:pt>
                <c:pt idx="11">
                  <c:v>-3528.5</c:v>
                </c:pt>
                <c:pt idx="12">
                  <c:v>-2966</c:v>
                </c:pt>
                <c:pt idx="13">
                  <c:v>-2495</c:v>
                </c:pt>
                <c:pt idx="14">
                  <c:v>-2412</c:v>
                </c:pt>
                <c:pt idx="15">
                  <c:v>-1451</c:v>
                </c:pt>
                <c:pt idx="16">
                  <c:v>0</c:v>
                </c:pt>
                <c:pt idx="17">
                  <c:v>62</c:v>
                </c:pt>
                <c:pt idx="18">
                  <c:v>62</c:v>
                </c:pt>
                <c:pt idx="19">
                  <c:v>262</c:v>
                </c:pt>
                <c:pt idx="20">
                  <c:v>262</c:v>
                </c:pt>
                <c:pt idx="21">
                  <c:v>269</c:v>
                </c:pt>
                <c:pt idx="22">
                  <c:v>269</c:v>
                </c:pt>
                <c:pt idx="23">
                  <c:v>269</c:v>
                </c:pt>
                <c:pt idx="24">
                  <c:v>269</c:v>
                </c:pt>
                <c:pt idx="25">
                  <c:v>442</c:v>
                </c:pt>
                <c:pt idx="26">
                  <c:v>442</c:v>
                </c:pt>
                <c:pt idx="27">
                  <c:v>649</c:v>
                </c:pt>
                <c:pt idx="28">
                  <c:v>665</c:v>
                </c:pt>
                <c:pt idx="29">
                  <c:v>1219</c:v>
                </c:pt>
                <c:pt idx="30">
                  <c:v>1504</c:v>
                </c:pt>
                <c:pt idx="31">
                  <c:v>1593</c:v>
                </c:pt>
                <c:pt idx="32">
                  <c:v>1599</c:v>
                </c:pt>
                <c:pt idx="33">
                  <c:v>1688</c:v>
                </c:pt>
                <c:pt idx="34">
                  <c:v>2192</c:v>
                </c:pt>
                <c:pt idx="35">
                  <c:v>2459</c:v>
                </c:pt>
                <c:pt idx="36">
                  <c:v>2465</c:v>
                </c:pt>
                <c:pt idx="37">
                  <c:v>2537</c:v>
                </c:pt>
                <c:pt idx="38">
                  <c:v>2644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4">
                  <c:v>5.0203199993120506E-2</c:v>
                </c:pt>
                <c:pt idx="35">
                  <c:v>4.3426399999589194E-2</c:v>
                </c:pt>
                <c:pt idx="36">
                  <c:v>3.3364000002620742E-2</c:v>
                </c:pt>
                <c:pt idx="37">
                  <c:v>5.5615199991734698E-2</c:v>
                </c:pt>
                <c:pt idx="38">
                  <c:v>6.1502399992605206E-2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BA-4152-9F9B-AC33324712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34">
                    <c:v>6.0000000000000001E-3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34">
                    <c:v>6.0000000000000001E-3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-5658</c:v>
                </c:pt>
                <c:pt idx="1">
                  <c:v>-5557</c:v>
                </c:pt>
                <c:pt idx="2">
                  <c:v>-4104</c:v>
                </c:pt>
                <c:pt idx="3">
                  <c:v>-4044</c:v>
                </c:pt>
                <c:pt idx="4">
                  <c:v>-4037</c:v>
                </c:pt>
                <c:pt idx="5">
                  <c:v>-4026</c:v>
                </c:pt>
                <c:pt idx="6">
                  <c:v>-4020</c:v>
                </c:pt>
                <c:pt idx="7">
                  <c:v>-3954</c:v>
                </c:pt>
                <c:pt idx="8">
                  <c:v>-3912.5</c:v>
                </c:pt>
                <c:pt idx="9">
                  <c:v>-3557</c:v>
                </c:pt>
                <c:pt idx="10">
                  <c:v>-3552</c:v>
                </c:pt>
                <c:pt idx="11">
                  <c:v>-3528.5</c:v>
                </c:pt>
                <c:pt idx="12">
                  <c:v>-2966</c:v>
                </c:pt>
                <c:pt idx="13">
                  <c:v>-2495</c:v>
                </c:pt>
                <c:pt idx="14">
                  <c:v>-2412</c:v>
                </c:pt>
                <c:pt idx="15">
                  <c:v>-1451</c:v>
                </c:pt>
                <c:pt idx="16">
                  <c:v>0</c:v>
                </c:pt>
                <c:pt idx="17">
                  <c:v>62</c:v>
                </c:pt>
                <c:pt idx="18">
                  <c:v>62</c:v>
                </c:pt>
                <c:pt idx="19">
                  <c:v>262</c:v>
                </c:pt>
                <c:pt idx="20">
                  <c:v>262</c:v>
                </c:pt>
                <c:pt idx="21">
                  <c:v>269</c:v>
                </c:pt>
                <c:pt idx="22">
                  <c:v>269</c:v>
                </c:pt>
                <c:pt idx="23">
                  <c:v>269</c:v>
                </c:pt>
                <c:pt idx="24">
                  <c:v>269</c:v>
                </c:pt>
                <c:pt idx="25">
                  <c:v>442</c:v>
                </c:pt>
                <c:pt idx="26">
                  <c:v>442</c:v>
                </c:pt>
                <c:pt idx="27">
                  <c:v>649</c:v>
                </c:pt>
                <c:pt idx="28">
                  <c:v>665</c:v>
                </c:pt>
                <c:pt idx="29">
                  <c:v>1219</c:v>
                </c:pt>
                <c:pt idx="30">
                  <c:v>1504</c:v>
                </c:pt>
                <c:pt idx="31">
                  <c:v>1593</c:v>
                </c:pt>
                <c:pt idx="32">
                  <c:v>1599</c:v>
                </c:pt>
                <c:pt idx="33">
                  <c:v>1688</c:v>
                </c:pt>
                <c:pt idx="34">
                  <c:v>2192</c:v>
                </c:pt>
                <c:pt idx="35">
                  <c:v>2459</c:v>
                </c:pt>
                <c:pt idx="36">
                  <c:v>2465</c:v>
                </c:pt>
                <c:pt idx="37">
                  <c:v>2537</c:v>
                </c:pt>
                <c:pt idx="38">
                  <c:v>2644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BA-4152-9F9B-AC33324712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34">
                    <c:v>6.0000000000000001E-3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34">
                    <c:v>6.0000000000000001E-3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-5658</c:v>
                </c:pt>
                <c:pt idx="1">
                  <c:v>-5557</c:v>
                </c:pt>
                <c:pt idx="2">
                  <c:v>-4104</c:v>
                </c:pt>
                <c:pt idx="3">
                  <c:v>-4044</c:v>
                </c:pt>
                <c:pt idx="4">
                  <c:v>-4037</c:v>
                </c:pt>
                <c:pt idx="5">
                  <c:v>-4026</c:v>
                </c:pt>
                <c:pt idx="6">
                  <c:v>-4020</c:v>
                </c:pt>
                <c:pt idx="7">
                  <c:v>-3954</c:v>
                </c:pt>
                <c:pt idx="8">
                  <c:v>-3912.5</c:v>
                </c:pt>
                <c:pt idx="9">
                  <c:v>-3557</c:v>
                </c:pt>
                <c:pt idx="10">
                  <c:v>-3552</c:v>
                </c:pt>
                <c:pt idx="11">
                  <c:v>-3528.5</c:v>
                </c:pt>
                <c:pt idx="12">
                  <c:v>-2966</c:v>
                </c:pt>
                <c:pt idx="13">
                  <c:v>-2495</c:v>
                </c:pt>
                <c:pt idx="14">
                  <c:v>-2412</c:v>
                </c:pt>
                <c:pt idx="15">
                  <c:v>-1451</c:v>
                </c:pt>
                <c:pt idx="16">
                  <c:v>0</c:v>
                </c:pt>
                <c:pt idx="17">
                  <c:v>62</c:v>
                </c:pt>
                <c:pt idx="18">
                  <c:v>62</c:v>
                </c:pt>
                <c:pt idx="19">
                  <c:v>262</c:v>
                </c:pt>
                <c:pt idx="20">
                  <c:v>262</c:v>
                </c:pt>
                <c:pt idx="21">
                  <c:v>269</c:v>
                </c:pt>
                <c:pt idx="22">
                  <c:v>269</c:v>
                </c:pt>
                <c:pt idx="23">
                  <c:v>269</c:v>
                </c:pt>
                <c:pt idx="24">
                  <c:v>269</c:v>
                </c:pt>
                <c:pt idx="25">
                  <c:v>442</c:v>
                </c:pt>
                <c:pt idx="26">
                  <c:v>442</c:v>
                </c:pt>
                <c:pt idx="27">
                  <c:v>649</c:v>
                </c:pt>
                <c:pt idx="28">
                  <c:v>665</c:v>
                </c:pt>
                <c:pt idx="29">
                  <c:v>1219</c:v>
                </c:pt>
                <c:pt idx="30">
                  <c:v>1504</c:v>
                </c:pt>
                <c:pt idx="31">
                  <c:v>1593</c:v>
                </c:pt>
                <c:pt idx="32">
                  <c:v>1599</c:v>
                </c:pt>
                <c:pt idx="33">
                  <c:v>1688</c:v>
                </c:pt>
                <c:pt idx="34">
                  <c:v>2192</c:v>
                </c:pt>
                <c:pt idx="35">
                  <c:v>2459</c:v>
                </c:pt>
                <c:pt idx="36">
                  <c:v>2465</c:v>
                </c:pt>
                <c:pt idx="37">
                  <c:v>2537</c:v>
                </c:pt>
                <c:pt idx="38">
                  <c:v>2644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ABA-4152-9F9B-AC33324712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34">
                    <c:v>6.0000000000000001E-3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34">
                    <c:v>6.0000000000000001E-3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-5658</c:v>
                </c:pt>
                <c:pt idx="1">
                  <c:v>-5557</c:v>
                </c:pt>
                <c:pt idx="2">
                  <c:v>-4104</c:v>
                </c:pt>
                <c:pt idx="3">
                  <c:v>-4044</c:v>
                </c:pt>
                <c:pt idx="4">
                  <c:v>-4037</c:v>
                </c:pt>
                <c:pt idx="5">
                  <c:v>-4026</c:v>
                </c:pt>
                <c:pt idx="6">
                  <c:v>-4020</c:v>
                </c:pt>
                <c:pt idx="7">
                  <c:v>-3954</c:v>
                </c:pt>
                <c:pt idx="8">
                  <c:v>-3912.5</c:v>
                </c:pt>
                <c:pt idx="9">
                  <c:v>-3557</c:v>
                </c:pt>
                <c:pt idx="10">
                  <c:v>-3552</c:v>
                </c:pt>
                <c:pt idx="11">
                  <c:v>-3528.5</c:v>
                </c:pt>
                <c:pt idx="12">
                  <c:v>-2966</c:v>
                </c:pt>
                <c:pt idx="13">
                  <c:v>-2495</c:v>
                </c:pt>
                <c:pt idx="14">
                  <c:v>-2412</c:v>
                </c:pt>
                <c:pt idx="15">
                  <c:v>-1451</c:v>
                </c:pt>
                <c:pt idx="16">
                  <c:v>0</c:v>
                </c:pt>
                <c:pt idx="17">
                  <c:v>62</c:v>
                </c:pt>
                <c:pt idx="18">
                  <c:v>62</c:v>
                </c:pt>
                <c:pt idx="19">
                  <c:v>262</c:v>
                </c:pt>
                <c:pt idx="20">
                  <c:v>262</c:v>
                </c:pt>
                <c:pt idx="21">
                  <c:v>269</c:v>
                </c:pt>
                <c:pt idx="22">
                  <c:v>269</c:v>
                </c:pt>
                <c:pt idx="23">
                  <c:v>269</c:v>
                </c:pt>
                <c:pt idx="24">
                  <c:v>269</c:v>
                </c:pt>
                <c:pt idx="25">
                  <c:v>442</c:v>
                </c:pt>
                <c:pt idx="26">
                  <c:v>442</c:v>
                </c:pt>
                <c:pt idx="27">
                  <c:v>649</c:v>
                </c:pt>
                <c:pt idx="28">
                  <c:v>665</c:v>
                </c:pt>
                <c:pt idx="29">
                  <c:v>1219</c:v>
                </c:pt>
                <c:pt idx="30">
                  <c:v>1504</c:v>
                </c:pt>
                <c:pt idx="31">
                  <c:v>1593</c:v>
                </c:pt>
                <c:pt idx="32">
                  <c:v>1599</c:v>
                </c:pt>
                <c:pt idx="33">
                  <c:v>1688</c:v>
                </c:pt>
                <c:pt idx="34">
                  <c:v>2192</c:v>
                </c:pt>
                <c:pt idx="35">
                  <c:v>2459</c:v>
                </c:pt>
                <c:pt idx="36">
                  <c:v>2465</c:v>
                </c:pt>
                <c:pt idx="37">
                  <c:v>2537</c:v>
                </c:pt>
                <c:pt idx="38">
                  <c:v>2644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ABA-4152-9F9B-AC33324712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34">
                    <c:v>6.0000000000000001E-3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7.0000000000000001E-3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0</c:v>
                  </c:pt>
                  <c:pt idx="34">
                    <c:v>6.0000000000000001E-3</c:v>
                  </c:pt>
                  <c:pt idx="35">
                    <c:v>6.0000000000000001E-3</c:v>
                  </c:pt>
                  <c:pt idx="36">
                    <c:v>5.0000000000000001E-3</c:v>
                  </c:pt>
                  <c:pt idx="37">
                    <c:v>5.0000000000000001E-3</c:v>
                  </c:pt>
                  <c:pt idx="38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-5658</c:v>
                </c:pt>
                <c:pt idx="1">
                  <c:v>-5557</c:v>
                </c:pt>
                <c:pt idx="2">
                  <c:v>-4104</c:v>
                </c:pt>
                <c:pt idx="3">
                  <c:v>-4044</c:v>
                </c:pt>
                <c:pt idx="4">
                  <c:v>-4037</c:v>
                </c:pt>
                <c:pt idx="5">
                  <c:v>-4026</c:v>
                </c:pt>
                <c:pt idx="6">
                  <c:v>-4020</c:v>
                </c:pt>
                <c:pt idx="7">
                  <c:v>-3954</c:v>
                </c:pt>
                <c:pt idx="8">
                  <c:v>-3912.5</c:v>
                </c:pt>
                <c:pt idx="9">
                  <c:v>-3557</c:v>
                </c:pt>
                <c:pt idx="10">
                  <c:v>-3552</c:v>
                </c:pt>
                <c:pt idx="11">
                  <c:v>-3528.5</c:v>
                </c:pt>
                <c:pt idx="12">
                  <c:v>-2966</c:v>
                </c:pt>
                <c:pt idx="13">
                  <c:v>-2495</c:v>
                </c:pt>
                <c:pt idx="14">
                  <c:v>-2412</c:v>
                </c:pt>
                <c:pt idx="15">
                  <c:v>-1451</c:v>
                </c:pt>
                <c:pt idx="16">
                  <c:v>0</c:v>
                </c:pt>
                <c:pt idx="17">
                  <c:v>62</c:v>
                </c:pt>
                <c:pt idx="18">
                  <c:v>62</c:v>
                </c:pt>
                <c:pt idx="19">
                  <c:v>262</c:v>
                </c:pt>
                <c:pt idx="20">
                  <c:v>262</c:v>
                </c:pt>
                <c:pt idx="21">
                  <c:v>269</c:v>
                </c:pt>
                <c:pt idx="22">
                  <c:v>269</c:v>
                </c:pt>
                <c:pt idx="23">
                  <c:v>269</c:v>
                </c:pt>
                <c:pt idx="24">
                  <c:v>269</c:v>
                </c:pt>
                <c:pt idx="25">
                  <c:v>442</c:v>
                </c:pt>
                <c:pt idx="26">
                  <c:v>442</c:v>
                </c:pt>
                <c:pt idx="27">
                  <c:v>649</c:v>
                </c:pt>
                <c:pt idx="28">
                  <c:v>665</c:v>
                </c:pt>
                <c:pt idx="29">
                  <c:v>1219</c:v>
                </c:pt>
                <c:pt idx="30">
                  <c:v>1504</c:v>
                </c:pt>
                <c:pt idx="31">
                  <c:v>1593</c:v>
                </c:pt>
                <c:pt idx="32">
                  <c:v>1599</c:v>
                </c:pt>
                <c:pt idx="33">
                  <c:v>1688</c:v>
                </c:pt>
                <c:pt idx="34">
                  <c:v>2192</c:v>
                </c:pt>
                <c:pt idx="35">
                  <c:v>2459</c:v>
                </c:pt>
                <c:pt idx="36">
                  <c:v>2465</c:v>
                </c:pt>
                <c:pt idx="37">
                  <c:v>2537</c:v>
                </c:pt>
                <c:pt idx="38">
                  <c:v>2644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ABA-4152-9F9B-AC33324712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-5658</c:v>
                </c:pt>
                <c:pt idx="1">
                  <c:v>-5557</c:v>
                </c:pt>
                <c:pt idx="2">
                  <c:v>-4104</c:v>
                </c:pt>
                <c:pt idx="3">
                  <c:v>-4044</c:v>
                </c:pt>
                <c:pt idx="4">
                  <c:v>-4037</c:v>
                </c:pt>
                <c:pt idx="5">
                  <c:v>-4026</c:v>
                </c:pt>
                <c:pt idx="6">
                  <c:v>-4020</c:v>
                </c:pt>
                <c:pt idx="7">
                  <c:v>-3954</c:v>
                </c:pt>
                <c:pt idx="8">
                  <c:v>-3912.5</c:v>
                </c:pt>
                <c:pt idx="9">
                  <c:v>-3557</c:v>
                </c:pt>
                <c:pt idx="10">
                  <c:v>-3552</c:v>
                </c:pt>
                <c:pt idx="11">
                  <c:v>-3528.5</c:v>
                </c:pt>
                <c:pt idx="12">
                  <c:v>-2966</c:v>
                </c:pt>
                <c:pt idx="13">
                  <c:v>-2495</c:v>
                </c:pt>
                <c:pt idx="14">
                  <c:v>-2412</c:v>
                </c:pt>
                <c:pt idx="15">
                  <c:v>-1451</c:v>
                </c:pt>
                <c:pt idx="16">
                  <c:v>0</c:v>
                </c:pt>
                <c:pt idx="17">
                  <c:v>62</c:v>
                </c:pt>
                <c:pt idx="18">
                  <c:v>62</c:v>
                </c:pt>
                <c:pt idx="19">
                  <c:v>262</c:v>
                </c:pt>
                <c:pt idx="20">
                  <c:v>262</c:v>
                </c:pt>
                <c:pt idx="21">
                  <c:v>269</c:v>
                </c:pt>
                <c:pt idx="22">
                  <c:v>269</c:v>
                </c:pt>
                <c:pt idx="23">
                  <c:v>269</c:v>
                </c:pt>
                <c:pt idx="24">
                  <c:v>269</c:v>
                </c:pt>
                <c:pt idx="25">
                  <c:v>442</c:v>
                </c:pt>
                <c:pt idx="26">
                  <c:v>442</c:v>
                </c:pt>
                <c:pt idx="27">
                  <c:v>649</c:v>
                </c:pt>
                <c:pt idx="28">
                  <c:v>665</c:v>
                </c:pt>
                <c:pt idx="29">
                  <c:v>1219</c:v>
                </c:pt>
                <c:pt idx="30">
                  <c:v>1504</c:v>
                </c:pt>
                <c:pt idx="31">
                  <c:v>1593</c:v>
                </c:pt>
                <c:pt idx="32">
                  <c:v>1599</c:v>
                </c:pt>
                <c:pt idx="33">
                  <c:v>1688</c:v>
                </c:pt>
                <c:pt idx="34">
                  <c:v>2192</c:v>
                </c:pt>
                <c:pt idx="35">
                  <c:v>2459</c:v>
                </c:pt>
                <c:pt idx="36">
                  <c:v>2465</c:v>
                </c:pt>
                <c:pt idx="37">
                  <c:v>2537</c:v>
                </c:pt>
                <c:pt idx="38">
                  <c:v>2644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1.6461589875723114E-2</c:v>
                </c:pt>
                <c:pt idx="1">
                  <c:v>1.6414678066127723E-2</c:v>
                </c:pt>
                <c:pt idx="2">
                  <c:v>1.5739798270661378E-2</c:v>
                </c:pt>
                <c:pt idx="3">
                  <c:v>1.5711929868921542E-2</c:v>
                </c:pt>
                <c:pt idx="4">
                  <c:v>1.5708678555385228E-2</c:v>
                </c:pt>
                <c:pt idx="5">
                  <c:v>1.5703569348399591E-2</c:v>
                </c:pt>
                <c:pt idx="6">
                  <c:v>1.5700782508225607E-2</c:v>
                </c:pt>
                <c:pt idx="7">
                  <c:v>1.5670127266311788E-2</c:v>
                </c:pt>
                <c:pt idx="8">
                  <c:v>1.5650851621775069E-2</c:v>
                </c:pt>
                <c:pt idx="9">
                  <c:v>1.5485731341466543E-2</c:v>
                </c:pt>
                <c:pt idx="10">
                  <c:v>1.548340897465489E-2</c:v>
                </c:pt>
                <c:pt idx="11">
                  <c:v>1.5472493850640121E-2</c:v>
                </c:pt>
                <c:pt idx="12">
                  <c:v>1.5211227584329166E-2</c:v>
                </c:pt>
                <c:pt idx="13">
                  <c:v>1.4992460630671457E-2</c:v>
                </c:pt>
                <c:pt idx="14">
                  <c:v>1.4953909341598019E-2</c:v>
                </c:pt>
                <c:pt idx="15">
                  <c:v>1.4507550440398321E-2</c:v>
                </c:pt>
                <c:pt idx="16">
                  <c:v>1.3833599591656635E-2</c:v>
                </c:pt>
                <c:pt idx="17">
                  <c:v>1.3804802243192138E-2</c:v>
                </c:pt>
                <c:pt idx="18">
                  <c:v>1.3804802243192138E-2</c:v>
                </c:pt>
                <c:pt idx="19">
                  <c:v>1.3711907570726021E-2</c:v>
                </c:pt>
                <c:pt idx="20">
                  <c:v>1.3711907570726021E-2</c:v>
                </c:pt>
                <c:pt idx="21">
                  <c:v>1.3708656257189707E-2</c:v>
                </c:pt>
                <c:pt idx="22">
                  <c:v>1.3708656257189707E-2</c:v>
                </c:pt>
                <c:pt idx="23">
                  <c:v>1.3708656257189707E-2</c:v>
                </c:pt>
                <c:pt idx="24">
                  <c:v>1.3708656257189707E-2</c:v>
                </c:pt>
                <c:pt idx="25">
                  <c:v>1.3628302365506514E-2</c:v>
                </c:pt>
                <c:pt idx="26">
                  <c:v>1.3628302365506514E-2</c:v>
                </c:pt>
                <c:pt idx="27">
                  <c:v>1.3532156379504083E-2</c:v>
                </c:pt>
                <c:pt idx="28">
                  <c:v>1.3524724805706793E-2</c:v>
                </c:pt>
                <c:pt idx="29">
                  <c:v>1.3267406562975646E-2</c:v>
                </c:pt>
                <c:pt idx="30">
                  <c:v>1.3135031654711428E-2</c:v>
                </c:pt>
                <c:pt idx="31">
                  <c:v>1.3093693525464006E-2</c:v>
                </c:pt>
                <c:pt idx="32">
                  <c:v>1.3090906685290022E-2</c:v>
                </c:pt>
                <c:pt idx="33">
                  <c:v>1.30495685560426E-2</c:v>
                </c:pt>
                <c:pt idx="34">
                  <c:v>1.2815473981427981E-2</c:v>
                </c:pt>
                <c:pt idx="35">
                  <c:v>1.2691459593685714E-2</c:v>
                </c:pt>
                <c:pt idx="36">
                  <c:v>1.2688672753511732E-2</c:v>
                </c:pt>
                <c:pt idx="37">
                  <c:v>1.2655230671423929E-2</c:v>
                </c:pt>
                <c:pt idx="38">
                  <c:v>1.2605532021654556E-2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ABA-4152-9F9B-AC33324712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-5658</c:v>
                </c:pt>
                <c:pt idx="1">
                  <c:v>-5557</c:v>
                </c:pt>
                <c:pt idx="2">
                  <c:v>-4104</c:v>
                </c:pt>
                <c:pt idx="3">
                  <c:v>-4044</c:v>
                </c:pt>
                <c:pt idx="4">
                  <c:v>-4037</c:v>
                </c:pt>
                <c:pt idx="5">
                  <c:v>-4026</c:v>
                </c:pt>
                <c:pt idx="6">
                  <c:v>-4020</c:v>
                </c:pt>
                <c:pt idx="7">
                  <c:v>-3954</c:v>
                </c:pt>
                <c:pt idx="8">
                  <c:v>-3912.5</c:v>
                </c:pt>
                <c:pt idx="9">
                  <c:v>-3557</c:v>
                </c:pt>
                <c:pt idx="10">
                  <c:v>-3552</c:v>
                </c:pt>
                <c:pt idx="11">
                  <c:v>-3528.5</c:v>
                </c:pt>
                <c:pt idx="12">
                  <c:v>-2966</c:v>
                </c:pt>
                <c:pt idx="13">
                  <c:v>-2495</c:v>
                </c:pt>
                <c:pt idx="14">
                  <c:v>-2412</c:v>
                </c:pt>
                <c:pt idx="15">
                  <c:v>-1451</c:v>
                </c:pt>
                <c:pt idx="16">
                  <c:v>0</c:v>
                </c:pt>
                <c:pt idx="17">
                  <c:v>62</c:v>
                </c:pt>
                <c:pt idx="18">
                  <c:v>62</c:v>
                </c:pt>
                <c:pt idx="19">
                  <c:v>262</c:v>
                </c:pt>
                <c:pt idx="20">
                  <c:v>262</c:v>
                </c:pt>
                <c:pt idx="21">
                  <c:v>269</c:v>
                </c:pt>
                <c:pt idx="22">
                  <c:v>269</c:v>
                </c:pt>
                <c:pt idx="23">
                  <c:v>269</c:v>
                </c:pt>
                <c:pt idx="24">
                  <c:v>269</c:v>
                </c:pt>
                <c:pt idx="25">
                  <c:v>442</c:v>
                </c:pt>
                <c:pt idx="26">
                  <c:v>442</c:v>
                </c:pt>
                <c:pt idx="27">
                  <c:v>649</c:v>
                </c:pt>
                <c:pt idx="28">
                  <c:v>665</c:v>
                </c:pt>
                <c:pt idx="29">
                  <c:v>1219</c:v>
                </c:pt>
                <c:pt idx="30">
                  <c:v>1504</c:v>
                </c:pt>
                <c:pt idx="31">
                  <c:v>1593</c:v>
                </c:pt>
                <c:pt idx="32">
                  <c:v>1599</c:v>
                </c:pt>
                <c:pt idx="33">
                  <c:v>1688</c:v>
                </c:pt>
                <c:pt idx="34">
                  <c:v>2192</c:v>
                </c:pt>
                <c:pt idx="35">
                  <c:v>2459</c:v>
                </c:pt>
                <c:pt idx="36">
                  <c:v>2465</c:v>
                </c:pt>
                <c:pt idx="37">
                  <c:v>2537</c:v>
                </c:pt>
                <c:pt idx="38">
                  <c:v>2644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1">
                  <c:v>-0.90980359999957727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ABA-4152-9F9B-AC3332471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260360"/>
        <c:axId val="1"/>
      </c:scatterChart>
      <c:valAx>
        <c:axId val="67926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60870087317523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6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11128265829516"/>
          <c:y val="0.91874999999999996"/>
          <c:w val="0.87418437891342005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466725</xdr:colOff>
      <xdr:row>18</xdr:row>
      <xdr:rowOff>47624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1A685D-AD3E-7502-FC40-2BB7907560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1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64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3" customFormat="1" ht="20.25">
      <c r="A1" s="22" t="s">
        <v>53</v>
      </c>
    </row>
    <row r="2" spans="1:6" s="23" customFormat="1" ht="12.95" customHeight="1">
      <c r="A2" s="23" t="s">
        <v>25</v>
      </c>
      <c r="B2" s="24" t="s">
        <v>52</v>
      </c>
    </row>
    <row r="3" spans="1:6" s="23" customFormat="1" ht="12.95" customHeight="1"/>
    <row r="4" spans="1:6" s="23" customFormat="1" ht="12.95" customHeight="1">
      <c r="A4" s="25" t="s">
        <v>0</v>
      </c>
      <c r="C4" s="26">
        <v>40148.620000000003</v>
      </c>
      <c r="D4" s="27">
        <v>3.8210104</v>
      </c>
    </row>
    <row r="5" spans="1:6" s="23" customFormat="1" ht="12.95" customHeight="1">
      <c r="A5" s="28" t="s">
        <v>206</v>
      </c>
      <c r="C5" s="29">
        <v>-9.5</v>
      </c>
      <c r="D5" s="23" t="s">
        <v>207</v>
      </c>
    </row>
    <row r="6" spans="1:6" s="23" customFormat="1" ht="12.95" customHeight="1">
      <c r="A6" s="25" t="s">
        <v>1</v>
      </c>
    </row>
    <row r="7" spans="1:6" s="23" customFormat="1" ht="12.95" customHeight="1">
      <c r="A7" s="23" t="s">
        <v>2</v>
      </c>
      <c r="C7" s="23">
        <f>+C4</f>
        <v>40148.620000000003</v>
      </c>
    </row>
    <row r="8" spans="1:6" s="23" customFormat="1" ht="12.95" customHeight="1">
      <c r="A8" s="23" t="s">
        <v>3</v>
      </c>
      <c r="C8" s="23">
        <f>+D4</f>
        <v>3.8210104</v>
      </c>
    </row>
    <row r="9" spans="1:6" s="23" customFormat="1" ht="12.95" customHeight="1">
      <c r="A9" s="30" t="s">
        <v>208</v>
      </c>
      <c r="B9" s="31">
        <v>21</v>
      </c>
      <c r="C9" s="32" t="str">
        <f>"F"&amp;B9</f>
        <v>F21</v>
      </c>
      <c r="D9" s="33" t="str">
        <f>"G"&amp;B9</f>
        <v>G21</v>
      </c>
    </row>
    <row r="10" spans="1:6" s="23" customFormat="1" ht="12.95" customHeight="1" thickBot="1">
      <c r="C10" s="34" t="s">
        <v>20</v>
      </c>
      <c r="D10" s="34" t="s">
        <v>21</v>
      </c>
    </row>
    <row r="11" spans="1:6" s="23" customFormat="1" ht="12.95" customHeight="1">
      <c r="A11" s="23" t="s">
        <v>16</v>
      </c>
      <c r="C11" s="33">
        <f ca="1">INTERCEPT(INDIRECT($D$9):G978,INDIRECT($C$9):F978)</f>
        <v>1.3833599591656635E-2</v>
      </c>
      <c r="D11" s="35"/>
    </row>
    <row r="12" spans="1:6" s="23" customFormat="1" ht="12.95" customHeight="1">
      <c r="A12" s="23" t="s">
        <v>17</v>
      </c>
      <c r="C12" s="33">
        <f ca="1">SLOPE(INDIRECT($D$9):G978,INDIRECT($C$9):F978)</f>
        <v>-4.6447336233058991E-7</v>
      </c>
      <c r="D12" s="35"/>
    </row>
    <row r="13" spans="1:6" s="23" customFormat="1" ht="12.95" customHeight="1">
      <c r="A13" s="23" t="s">
        <v>19</v>
      </c>
      <c r="C13" s="35" t="s">
        <v>14</v>
      </c>
      <c r="D13" s="35"/>
    </row>
    <row r="14" spans="1:6" s="23" customFormat="1" ht="12.95" customHeight="1">
      <c r="A14" s="23" t="s">
        <v>24</v>
      </c>
    </row>
    <row r="15" spans="1:6" s="23" customFormat="1" ht="12.95" customHeight="1">
      <c r="A15" s="36" t="s">
        <v>18</v>
      </c>
      <c r="C15" s="37">
        <f ca="1">(C7+C11)+(C8+C12)*INT(MAX(F21:F3533))</f>
        <v>50251.384103132026</v>
      </c>
      <c r="E15" s="38" t="s">
        <v>209</v>
      </c>
      <c r="F15" s="29">
        <v>1</v>
      </c>
    </row>
    <row r="16" spans="1:6" s="23" customFormat="1" ht="12.95" customHeight="1">
      <c r="A16" s="25" t="s">
        <v>4</v>
      </c>
      <c r="C16" s="39">
        <f ca="1">+C8+C12</f>
        <v>3.8210099355266376</v>
      </c>
      <c r="E16" s="38" t="s">
        <v>210</v>
      </c>
      <c r="F16" s="40">
        <f ca="1">NOW()+15018.5+$C$5/24</f>
        <v>60374.772988078701</v>
      </c>
    </row>
    <row r="17" spans="1:21" s="23" customFormat="1" ht="12.95" customHeight="1" thickBot="1">
      <c r="A17" s="38" t="s">
        <v>51</v>
      </c>
      <c r="C17" s="23">
        <f>COUNT(C21:C2191)</f>
        <v>39</v>
      </c>
      <c r="E17" s="38" t="s">
        <v>211</v>
      </c>
      <c r="F17" s="40">
        <f ca="1">ROUND(2*(F16-$C$7)/$C$8,0)/2+F15</f>
        <v>5294.5</v>
      </c>
    </row>
    <row r="18" spans="1:21" s="23" customFormat="1" ht="12.95" customHeight="1">
      <c r="A18" s="25" t="s">
        <v>5</v>
      </c>
      <c r="C18" s="26">
        <f ca="1">+C15</f>
        <v>50251.384103132026</v>
      </c>
      <c r="D18" s="27">
        <f ca="1">+C16</f>
        <v>3.8210099355266376</v>
      </c>
      <c r="E18" s="38" t="s">
        <v>212</v>
      </c>
      <c r="F18" s="33">
        <f ca="1">ROUND(2*(F16-$C$15)/$C$16,0)/2+F15</f>
        <v>2650.5</v>
      </c>
    </row>
    <row r="19" spans="1:21" s="23" customFormat="1" ht="12.95" customHeight="1" thickTop="1">
      <c r="E19" s="38" t="s">
        <v>213</v>
      </c>
      <c r="F19" s="41">
        <f ca="1">+$C$15+$C$16*F18-15018.5-$C$5/24</f>
        <v>45360.866770578716</v>
      </c>
    </row>
    <row r="20" spans="1:21" s="23" customFormat="1" ht="12.95" customHeight="1" thickBot="1">
      <c r="A20" s="34" t="s">
        <v>6</v>
      </c>
      <c r="B20" s="34" t="s">
        <v>7</v>
      </c>
      <c r="C20" s="34" t="s">
        <v>8</v>
      </c>
      <c r="D20" s="34" t="s">
        <v>13</v>
      </c>
      <c r="E20" s="34" t="s">
        <v>9</v>
      </c>
      <c r="F20" s="34" t="s">
        <v>10</v>
      </c>
      <c r="G20" s="34" t="s">
        <v>11</v>
      </c>
      <c r="H20" s="42" t="s">
        <v>12</v>
      </c>
      <c r="I20" s="42" t="s">
        <v>64</v>
      </c>
      <c r="J20" s="42" t="s">
        <v>216</v>
      </c>
      <c r="K20" s="42" t="s">
        <v>56</v>
      </c>
      <c r="L20" s="42" t="s">
        <v>215</v>
      </c>
      <c r="M20" s="42" t="s">
        <v>26</v>
      </c>
      <c r="N20" s="42" t="s">
        <v>27</v>
      </c>
      <c r="O20" s="42" t="s">
        <v>23</v>
      </c>
      <c r="P20" s="43" t="s">
        <v>22</v>
      </c>
      <c r="Q20" s="34" t="s">
        <v>15</v>
      </c>
      <c r="U20" s="44" t="s">
        <v>214</v>
      </c>
    </row>
    <row r="21" spans="1:21" s="23" customFormat="1" ht="12.95" customHeight="1">
      <c r="A21" s="45" t="s">
        <v>71</v>
      </c>
      <c r="B21" s="46" t="s">
        <v>204</v>
      </c>
      <c r="C21" s="47">
        <v>18529.37</v>
      </c>
      <c r="D21" s="48"/>
      <c r="E21" s="23">
        <f t="shared" ref="E21:E59" si="0">+(C21-C$7)/C$8</f>
        <v>-5657.9929748424665</v>
      </c>
      <c r="F21" s="23">
        <f t="shared" ref="F21:F59" si="1">ROUND(2*E21,0)/2</f>
        <v>-5658</v>
      </c>
      <c r="G21" s="23">
        <f t="shared" ref="G21:G31" si="2">+C21-(C$7+F21*C$8)</f>
        <v>2.6843199997529155E-2</v>
      </c>
      <c r="I21" s="23">
        <f>+G21</f>
        <v>2.6843199997529155E-2</v>
      </c>
      <c r="O21" s="23">
        <f t="shared" ref="O21:O59" ca="1" si="3">+C$11+C$12*$F21</f>
        <v>1.6461589875723114E-2</v>
      </c>
      <c r="Q21" s="49">
        <f t="shared" ref="Q21:Q59" si="4">+C21-15018.5</f>
        <v>3510.869999999999</v>
      </c>
    </row>
    <row r="22" spans="1:21" s="23" customFormat="1" ht="12.95" customHeight="1">
      <c r="A22" s="45" t="s">
        <v>76</v>
      </c>
      <c r="B22" s="46" t="s">
        <v>204</v>
      </c>
      <c r="C22" s="47">
        <v>18915.292000000001</v>
      </c>
      <c r="D22" s="48"/>
      <c r="E22" s="23">
        <f t="shared" si="0"/>
        <v>-5556.9929880326945</v>
      </c>
      <c r="F22" s="23">
        <f t="shared" si="1"/>
        <v>-5557</v>
      </c>
      <c r="G22" s="23">
        <f t="shared" si="2"/>
        <v>2.6792799999384442E-2</v>
      </c>
      <c r="I22" s="23">
        <f>+G22</f>
        <v>2.6792799999384442E-2</v>
      </c>
      <c r="O22" s="23">
        <f t="shared" ca="1" si="3"/>
        <v>1.6414678066127723E-2</v>
      </c>
      <c r="Q22" s="49">
        <f t="shared" si="4"/>
        <v>3896.7920000000013</v>
      </c>
    </row>
    <row r="23" spans="1:21" ht="12.95" customHeight="1">
      <c r="A23" s="19" t="s">
        <v>71</v>
      </c>
      <c r="B23" s="21" t="s">
        <v>204</v>
      </c>
      <c r="C23" s="20">
        <v>24467.200000000001</v>
      </c>
      <c r="D23" s="3"/>
      <c r="E23">
        <f t="shared" si="0"/>
        <v>-4103.9982513525747</v>
      </c>
      <c r="F23">
        <f t="shared" si="1"/>
        <v>-4104</v>
      </c>
      <c r="G23">
        <f t="shared" si="2"/>
        <v>6.6815999998652842E-3</v>
      </c>
      <c r="I23">
        <f>+G23</f>
        <v>6.6815999998652842E-3</v>
      </c>
      <c r="O23">
        <f t="shared" ca="1" si="3"/>
        <v>1.5739798270661378E-2</v>
      </c>
      <c r="Q23" s="1">
        <f t="shared" si="4"/>
        <v>9448.7000000000007</v>
      </c>
    </row>
    <row r="24" spans="1:21" ht="12.95" customHeight="1">
      <c r="A24" s="19" t="s">
        <v>71</v>
      </c>
      <c r="B24" s="21" t="s">
        <v>204</v>
      </c>
      <c r="C24" s="20">
        <v>24696.38</v>
      </c>
      <c r="D24" s="3"/>
      <c r="E24">
        <f t="shared" si="0"/>
        <v>-4044.0193515306846</v>
      </c>
      <c r="F24">
        <f t="shared" si="1"/>
        <v>-4044</v>
      </c>
      <c r="G24">
        <f t="shared" si="2"/>
        <v>-7.3942400002124486E-2</v>
      </c>
      <c r="I24">
        <f>+G24</f>
        <v>-7.3942400002124486E-2</v>
      </c>
      <c r="O24">
        <f t="shared" ca="1" si="3"/>
        <v>1.5711929868921542E-2</v>
      </c>
      <c r="Q24" s="1">
        <f t="shared" si="4"/>
        <v>9677.880000000001</v>
      </c>
    </row>
    <row r="25" spans="1:21" ht="12.95" customHeight="1">
      <c r="A25" s="19" t="s">
        <v>87</v>
      </c>
      <c r="B25" s="21" t="s">
        <v>204</v>
      </c>
      <c r="C25" s="20">
        <v>24723.279999999999</v>
      </c>
      <c r="D25" s="3"/>
      <c r="E25">
        <f t="shared" si="0"/>
        <v>-4036.9793288183678</v>
      </c>
      <c r="F25">
        <f t="shared" si="1"/>
        <v>-4037</v>
      </c>
      <c r="G25">
        <f t="shared" si="2"/>
        <v>7.8984799998579547E-2</v>
      </c>
      <c r="I25">
        <f>+G25</f>
        <v>7.8984799998579547E-2</v>
      </c>
      <c r="O25">
        <f t="shared" ca="1" si="3"/>
        <v>1.5708678555385228E-2</v>
      </c>
      <c r="Q25" s="1">
        <f t="shared" si="4"/>
        <v>9704.7799999999988</v>
      </c>
    </row>
    <row r="26" spans="1:21" ht="12.95" customHeight="1">
      <c r="A26" s="19" t="s">
        <v>92</v>
      </c>
      <c r="B26" s="21" t="s">
        <v>204</v>
      </c>
      <c r="C26" s="20">
        <v>24765.232</v>
      </c>
      <c r="D26" s="3"/>
      <c r="E26">
        <f t="shared" si="0"/>
        <v>-4026.0000339177309</v>
      </c>
      <c r="F26">
        <f t="shared" si="1"/>
        <v>-4026</v>
      </c>
      <c r="G26">
        <f t="shared" si="2"/>
        <v>-1.2960000094608404E-4</v>
      </c>
      <c r="I26">
        <f>+G26</f>
        <v>-1.2960000094608404E-4</v>
      </c>
      <c r="O26">
        <f t="shared" ca="1" si="3"/>
        <v>1.5703569348399591E-2</v>
      </c>
      <c r="Q26" s="1">
        <f t="shared" si="4"/>
        <v>9746.732</v>
      </c>
    </row>
    <row r="27" spans="1:21" ht="12.95" customHeight="1">
      <c r="A27" s="19" t="s">
        <v>97</v>
      </c>
      <c r="B27" s="21" t="s">
        <v>204</v>
      </c>
      <c r="C27" s="20">
        <v>24788.18</v>
      </c>
      <c r="D27" s="3"/>
      <c r="E27">
        <f t="shared" si="0"/>
        <v>-4019.9942926090966</v>
      </c>
      <c r="F27">
        <f t="shared" si="1"/>
        <v>-4020</v>
      </c>
      <c r="G27">
        <f t="shared" si="2"/>
        <v>2.1807999997690786E-2</v>
      </c>
      <c r="I27">
        <f>+G27</f>
        <v>2.1807999997690786E-2</v>
      </c>
      <c r="O27">
        <f t="shared" ca="1" si="3"/>
        <v>1.5700782508225607E-2</v>
      </c>
      <c r="Q27" s="1">
        <f t="shared" si="4"/>
        <v>9769.68</v>
      </c>
    </row>
    <row r="28" spans="1:21" ht="12.95" customHeight="1">
      <c r="A28" s="19" t="s">
        <v>102</v>
      </c>
      <c r="B28" s="21" t="s">
        <v>204</v>
      </c>
      <c r="C28" s="20">
        <v>25040.345000000001</v>
      </c>
      <c r="D28" s="3"/>
      <c r="E28">
        <f t="shared" si="0"/>
        <v>-3953.9999681759573</v>
      </c>
      <c r="F28">
        <f t="shared" si="1"/>
        <v>-3954</v>
      </c>
      <c r="G28">
        <f t="shared" si="2"/>
        <v>1.2159999823779799E-4</v>
      </c>
      <c r="I28">
        <f>+G28</f>
        <v>1.2159999823779799E-4</v>
      </c>
      <c r="O28">
        <f t="shared" ca="1" si="3"/>
        <v>1.5670127266311788E-2</v>
      </c>
      <c r="Q28" s="1">
        <f t="shared" si="4"/>
        <v>10021.845000000001</v>
      </c>
    </row>
    <row r="29" spans="1:21">
      <c r="A29" s="19" t="s">
        <v>92</v>
      </c>
      <c r="B29" s="21" t="s">
        <v>205</v>
      </c>
      <c r="C29" s="20">
        <v>25199.132000000001</v>
      </c>
      <c r="D29" s="3"/>
      <c r="E29">
        <f t="shared" si="0"/>
        <v>-3912.4436824354107</v>
      </c>
      <c r="F29">
        <f t="shared" si="1"/>
        <v>-3912.5</v>
      </c>
      <c r="G29">
        <f t="shared" si="2"/>
        <v>0.21518999999898369</v>
      </c>
      <c r="I29">
        <f>+G29</f>
        <v>0.21518999999898369</v>
      </c>
      <c r="O29">
        <f t="shared" ca="1" si="3"/>
        <v>1.5650851621775069E-2</v>
      </c>
      <c r="Q29" s="1">
        <f t="shared" si="4"/>
        <v>10180.632000000001</v>
      </c>
    </row>
    <row r="30" spans="1:21">
      <c r="A30" s="19" t="s">
        <v>109</v>
      </c>
      <c r="B30" s="21" t="s">
        <v>204</v>
      </c>
      <c r="C30" s="20">
        <v>26557.305</v>
      </c>
      <c r="D30" s="3"/>
      <c r="E30">
        <f t="shared" si="0"/>
        <v>-3556.9950293775705</v>
      </c>
      <c r="F30">
        <f t="shared" si="1"/>
        <v>-3557</v>
      </c>
      <c r="G30">
        <f t="shared" si="2"/>
        <v>1.8992799996340182E-2</v>
      </c>
      <c r="I30">
        <f>+G30</f>
        <v>1.8992799996340182E-2</v>
      </c>
      <c r="O30">
        <f t="shared" ca="1" si="3"/>
        <v>1.5485731341466543E-2</v>
      </c>
      <c r="Q30" s="1">
        <f t="shared" si="4"/>
        <v>11538.805</v>
      </c>
    </row>
    <row r="31" spans="1:21">
      <c r="A31" s="19" t="s">
        <v>92</v>
      </c>
      <c r="B31" s="21" t="s">
        <v>204</v>
      </c>
      <c r="C31" s="20">
        <v>26576.400000000001</v>
      </c>
      <c r="D31" s="3"/>
      <c r="E31">
        <f t="shared" si="0"/>
        <v>-3551.997660095351</v>
      </c>
      <c r="F31">
        <f t="shared" si="1"/>
        <v>-3552</v>
      </c>
      <c r="G31">
        <f t="shared" si="2"/>
        <v>8.9407999985269271E-3</v>
      </c>
      <c r="I31">
        <f>+G31</f>
        <v>8.9407999985269271E-3</v>
      </c>
      <c r="O31">
        <f t="shared" ca="1" si="3"/>
        <v>1.548340897465489E-2</v>
      </c>
      <c r="Q31" s="1">
        <f t="shared" si="4"/>
        <v>11557.900000000001</v>
      </c>
    </row>
    <row r="32" spans="1:21">
      <c r="A32" s="19" t="s">
        <v>109</v>
      </c>
      <c r="B32" s="21" t="s">
        <v>204</v>
      </c>
      <c r="C32" s="20">
        <v>26665.275000000001</v>
      </c>
      <c r="D32" s="3"/>
      <c r="E32">
        <f t="shared" si="0"/>
        <v>-3528.7381055021469</v>
      </c>
      <c r="F32">
        <f t="shared" si="1"/>
        <v>-3528.5</v>
      </c>
      <c r="O32">
        <f t="shared" ca="1" si="3"/>
        <v>1.5472493850640121E-2</v>
      </c>
      <c r="Q32" s="1">
        <f t="shared" si="4"/>
        <v>11646.775000000001</v>
      </c>
      <c r="U32">
        <f>+C32-(C$7+F32*C$8)</f>
        <v>-0.90980359999957727</v>
      </c>
    </row>
    <row r="33" spans="1:33">
      <c r="A33" s="19" t="s">
        <v>76</v>
      </c>
      <c r="B33" s="21" t="s">
        <v>204</v>
      </c>
      <c r="C33" s="20">
        <v>28815.502</v>
      </c>
      <c r="D33" s="3"/>
      <c r="E33">
        <f t="shared" si="0"/>
        <v>-2966.0003019096735</v>
      </c>
      <c r="F33">
        <f t="shared" si="1"/>
        <v>-2966</v>
      </c>
      <c r="G33">
        <f t="shared" ref="G33:G59" si="5">+C33-(C$7+F33*C$8)</f>
        <v>-1.1536000019987114E-3</v>
      </c>
      <c r="I33">
        <f>+G33</f>
        <v>-1.1536000019987114E-3</v>
      </c>
      <c r="O33">
        <f t="shared" ca="1" si="3"/>
        <v>1.5211227584329166E-2</v>
      </c>
      <c r="Q33" s="1">
        <f t="shared" si="4"/>
        <v>13797.002</v>
      </c>
    </row>
    <row r="34" spans="1:33">
      <c r="A34" s="19" t="s">
        <v>92</v>
      </c>
      <c r="B34" s="21" t="s">
        <v>204</v>
      </c>
      <c r="C34" s="20">
        <v>30615.190999999999</v>
      </c>
      <c r="D34" s="3"/>
      <c r="E34">
        <f t="shared" si="0"/>
        <v>-2495.0021072960189</v>
      </c>
      <c r="F34">
        <f t="shared" si="1"/>
        <v>-2495</v>
      </c>
      <c r="G34">
        <f t="shared" si="5"/>
        <v>-8.0520000046817586E-3</v>
      </c>
      <c r="I34">
        <f>+G34</f>
        <v>-8.0520000046817586E-3</v>
      </c>
      <c r="O34">
        <f t="shared" ca="1" si="3"/>
        <v>1.4992460630671457E-2</v>
      </c>
      <c r="Q34" s="1">
        <f t="shared" si="4"/>
        <v>15596.690999999999</v>
      </c>
    </row>
    <row r="35" spans="1:33">
      <c r="A35" s="19" t="s">
        <v>92</v>
      </c>
      <c r="B35" s="21" t="s">
        <v>204</v>
      </c>
      <c r="C35" s="20">
        <v>30932.330999999998</v>
      </c>
      <c r="D35" s="3"/>
      <c r="E35">
        <f t="shared" si="0"/>
        <v>-2412.0031183374963</v>
      </c>
      <c r="F35">
        <f t="shared" si="1"/>
        <v>-2412</v>
      </c>
      <c r="G35">
        <f t="shared" si="5"/>
        <v>-1.1915200004295912E-2</v>
      </c>
      <c r="I35">
        <f>+G35</f>
        <v>-1.1915200004295912E-2</v>
      </c>
      <c r="O35">
        <f t="shared" ca="1" si="3"/>
        <v>1.4953909341598019E-2</v>
      </c>
      <c r="Q35" s="1">
        <f t="shared" si="4"/>
        <v>15913.830999999998</v>
      </c>
    </row>
    <row r="36" spans="1:33">
      <c r="A36" s="19" t="s">
        <v>128</v>
      </c>
      <c r="B36" s="21" t="s">
        <v>204</v>
      </c>
      <c r="C36" s="20">
        <v>34604.334000000003</v>
      </c>
      <c r="D36" s="3"/>
      <c r="E36">
        <f t="shared" si="0"/>
        <v>-1450.9999763413364</v>
      </c>
      <c r="F36">
        <f t="shared" si="1"/>
        <v>-1451</v>
      </c>
      <c r="G36">
        <f t="shared" si="5"/>
        <v>9.0399997134227306E-5</v>
      </c>
      <c r="I36">
        <f>+G36</f>
        <v>9.0399997134227306E-5</v>
      </c>
      <c r="O36">
        <f t="shared" ca="1" si="3"/>
        <v>1.4507550440398321E-2</v>
      </c>
      <c r="Q36" s="1">
        <f t="shared" si="4"/>
        <v>19585.834000000003</v>
      </c>
    </row>
    <row r="37" spans="1:33">
      <c r="A37" t="s">
        <v>12</v>
      </c>
      <c r="C37" s="3">
        <v>40148.620000000003</v>
      </c>
      <c r="D37" s="3" t="s">
        <v>14</v>
      </c>
      <c r="E37">
        <f t="shared" si="0"/>
        <v>0</v>
      </c>
      <c r="F37">
        <f t="shared" si="1"/>
        <v>0</v>
      </c>
      <c r="G37">
        <f t="shared" si="5"/>
        <v>0</v>
      </c>
      <c r="H37">
        <f>+G37</f>
        <v>0</v>
      </c>
      <c r="O37">
        <f t="shared" ca="1" si="3"/>
        <v>1.3833599591656635E-2</v>
      </c>
      <c r="Q37" s="1">
        <f t="shared" si="4"/>
        <v>25130.120000000003</v>
      </c>
    </row>
    <row r="38" spans="1:33">
      <c r="A38" t="s">
        <v>32</v>
      </c>
      <c r="C38" s="4">
        <v>40385.500999999997</v>
      </c>
      <c r="D38" s="3"/>
      <c r="E38">
        <f t="shared" si="0"/>
        <v>61.994335320310547</v>
      </c>
      <c r="F38">
        <f t="shared" si="1"/>
        <v>62</v>
      </c>
      <c r="G38">
        <f t="shared" si="5"/>
        <v>-2.1644800006470177E-2</v>
      </c>
      <c r="I38">
        <f>+G38</f>
        <v>-2.1644800006470177E-2</v>
      </c>
      <c r="O38">
        <f t="shared" ca="1" si="3"/>
        <v>1.3804802243192138E-2</v>
      </c>
      <c r="Q38" s="1">
        <f t="shared" si="4"/>
        <v>25367.000999999997</v>
      </c>
      <c r="AC38">
        <v>10</v>
      </c>
      <c r="AE38" t="s">
        <v>31</v>
      </c>
      <c r="AG38" t="s">
        <v>33</v>
      </c>
    </row>
    <row r="39" spans="1:33">
      <c r="A39" t="s">
        <v>29</v>
      </c>
      <c r="C39" s="4">
        <v>40385.500999999997</v>
      </c>
      <c r="D39" s="3"/>
      <c r="E39">
        <f t="shared" si="0"/>
        <v>61.994335320310547</v>
      </c>
      <c r="F39">
        <f t="shared" si="1"/>
        <v>62</v>
      </c>
      <c r="G39">
        <f t="shared" si="5"/>
        <v>-2.1644800006470177E-2</v>
      </c>
      <c r="I39">
        <f>+G39</f>
        <v>-2.1644800006470177E-2</v>
      </c>
      <c r="O39">
        <f t="shared" ca="1" si="3"/>
        <v>1.3804802243192138E-2</v>
      </c>
      <c r="Q39" s="1">
        <f t="shared" si="4"/>
        <v>25367.000999999997</v>
      </c>
      <c r="AB39" t="s">
        <v>28</v>
      </c>
      <c r="AG39" t="s">
        <v>30</v>
      </c>
    </row>
    <row r="40" spans="1:33">
      <c r="A40" t="s">
        <v>36</v>
      </c>
      <c r="C40" s="4">
        <v>41149.699000000001</v>
      </c>
      <c r="D40" s="3"/>
      <c r="E40">
        <f t="shared" si="0"/>
        <v>261.99326753991505</v>
      </c>
      <c r="F40">
        <f t="shared" si="1"/>
        <v>262</v>
      </c>
      <c r="G40">
        <f t="shared" si="5"/>
        <v>-2.5724800005264115E-2</v>
      </c>
      <c r="I40">
        <f>+G40</f>
        <v>-2.5724800005264115E-2</v>
      </c>
      <c r="O40">
        <f t="shared" ca="1" si="3"/>
        <v>1.3711907570726021E-2</v>
      </c>
      <c r="Q40" s="1">
        <f t="shared" si="4"/>
        <v>26131.199000000001</v>
      </c>
      <c r="AC40">
        <v>13</v>
      </c>
      <c r="AE40" t="s">
        <v>35</v>
      </c>
      <c r="AG40" t="s">
        <v>33</v>
      </c>
    </row>
    <row r="41" spans="1:33">
      <c r="A41" t="s">
        <v>34</v>
      </c>
      <c r="C41" s="4">
        <v>41149.699000000001</v>
      </c>
      <c r="D41" s="3"/>
      <c r="E41">
        <f t="shared" si="0"/>
        <v>261.99326753991505</v>
      </c>
      <c r="F41">
        <f t="shared" si="1"/>
        <v>262</v>
      </c>
      <c r="G41">
        <f t="shared" si="5"/>
        <v>-2.5724800005264115E-2</v>
      </c>
      <c r="I41">
        <f>+G41</f>
        <v>-2.5724800005264115E-2</v>
      </c>
      <c r="O41">
        <f t="shared" ca="1" si="3"/>
        <v>1.3711907570726021E-2</v>
      </c>
      <c r="Q41" s="1">
        <f t="shared" si="4"/>
        <v>26131.199000000001</v>
      </c>
      <c r="AB41" t="s">
        <v>28</v>
      </c>
      <c r="AG41" t="s">
        <v>30</v>
      </c>
    </row>
    <row r="42" spans="1:33">
      <c r="A42" t="s">
        <v>36</v>
      </c>
      <c r="C42" s="4">
        <v>41176.46</v>
      </c>
      <c r="D42" s="3"/>
      <c r="E42">
        <f t="shared" si="0"/>
        <v>268.99691243970352</v>
      </c>
      <c r="F42">
        <f t="shared" si="1"/>
        <v>269</v>
      </c>
      <c r="G42">
        <f t="shared" si="5"/>
        <v>-1.1797600003774278E-2</v>
      </c>
      <c r="I42">
        <f>+G42</f>
        <v>-1.1797600003774278E-2</v>
      </c>
      <c r="O42">
        <f t="shared" ca="1" si="3"/>
        <v>1.3708656257189707E-2</v>
      </c>
      <c r="Q42" s="1">
        <f t="shared" si="4"/>
        <v>26157.96</v>
      </c>
      <c r="AC42">
        <v>7</v>
      </c>
      <c r="AE42" t="s">
        <v>31</v>
      </c>
      <c r="AG42" t="s">
        <v>33</v>
      </c>
    </row>
    <row r="43" spans="1:33">
      <c r="A43" t="s">
        <v>34</v>
      </c>
      <c r="C43" s="4">
        <v>41176.46</v>
      </c>
      <c r="D43" s="3"/>
      <c r="E43">
        <f t="shared" si="0"/>
        <v>268.99691243970352</v>
      </c>
      <c r="F43">
        <f t="shared" si="1"/>
        <v>269</v>
      </c>
      <c r="G43">
        <f t="shared" si="5"/>
        <v>-1.1797600003774278E-2</v>
      </c>
      <c r="I43">
        <f>+G43</f>
        <v>-1.1797600003774278E-2</v>
      </c>
      <c r="O43">
        <f t="shared" ca="1" si="3"/>
        <v>1.3708656257189707E-2</v>
      </c>
      <c r="Q43" s="1">
        <f t="shared" si="4"/>
        <v>26157.96</v>
      </c>
      <c r="AB43" t="s">
        <v>28</v>
      </c>
      <c r="AG43" t="s">
        <v>30</v>
      </c>
    </row>
    <row r="44" spans="1:33">
      <c r="A44" t="s">
        <v>39</v>
      </c>
      <c r="C44" s="4">
        <v>41176.47</v>
      </c>
      <c r="D44" s="3"/>
      <c r="E44">
        <f t="shared" si="0"/>
        <v>268.99952954851904</v>
      </c>
      <c r="F44">
        <f t="shared" si="1"/>
        <v>269</v>
      </c>
      <c r="G44">
        <f t="shared" si="5"/>
        <v>-1.7976000017370097E-3</v>
      </c>
      <c r="I44">
        <f>+G44</f>
        <v>-1.7976000017370097E-3</v>
      </c>
      <c r="O44">
        <f t="shared" ca="1" si="3"/>
        <v>1.3708656257189707E-2</v>
      </c>
      <c r="Q44" s="1">
        <f t="shared" si="4"/>
        <v>26157.97</v>
      </c>
      <c r="AC44">
        <v>11</v>
      </c>
      <c r="AE44" t="s">
        <v>38</v>
      </c>
      <c r="AG44" t="s">
        <v>33</v>
      </c>
    </row>
    <row r="45" spans="1:33">
      <c r="A45" t="s">
        <v>37</v>
      </c>
      <c r="C45" s="4">
        <v>41176.47</v>
      </c>
      <c r="D45" s="3"/>
      <c r="E45">
        <f t="shared" si="0"/>
        <v>268.99952954851904</v>
      </c>
      <c r="F45">
        <f t="shared" si="1"/>
        <v>269</v>
      </c>
      <c r="G45">
        <f t="shared" si="5"/>
        <v>-1.7976000017370097E-3</v>
      </c>
      <c r="I45">
        <f>+G45</f>
        <v>-1.7976000017370097E-3</v>
      </c>
      <c r="O45">
        <f t="shared" ca="1" si="3"/>
        <v>1.3708656257189707E-2</v>
      </c>
      <c r="Q45" s="1">
        <f t="shared" si="4"/>
        <v>26157.97</v>
      </c>
      <c r="AB45" t="s">
        <v>28</v>
      </c>
      <c r="AG45" t="s">
        <v>30</v>
      </c>
    </row>
    <row r="46" spans="1:33">
      <c r="A46" t="s">
        <v>40</v>
      </c>
      <c r="C46" s="4">
        <v>41837.504999999997</v>
      </c>
      <c r="D46" s="3"/>
      <c r="E46">
        <f t="shared" si="0"/>
        <v>441.99958210006304</v>
      </c>
      <c r="F46">
        <f t="shared" si="1"/>
        <v>442</v>
      </c>
      <c r="G46">
        <f t="shared" si="5"/>
        <v>-1.5968000079737976E-3</v>
      </c>
      <c r="I46">
        <f>+G46</f>
        <v>-1.5968000079737976E-3</v>
      </c>
      <c r="O46">
        <f t="shared" ca="1" si="3"/>
        <v>1.3628302365506514E-2</v>
      </c>
      <c r="Q46" s="1">
        <f t="shared" si="4"/>
        <v>26819.004999999997</v>
      </c>
      <c r="AB46" t="s">
        <v>28</v>
      </c>
      <c r="AC46">
        <v>16</v>
      </c>
      <c r="AE46" t="s">
        <v>38</v>
      </c>
      <c r="AG46" t="s">
        <v>33</v>
      </c>
    </row>
    <row r="47" spans="1:33">
      <c r="A47" t="s">
        <v>40</v>
      </c>
      <c r="C47" s="4">
        <v>41837.506999999998</v>
      </c>
      <c r="D47" s="3"/>
      <c r="E47">
        <f t="shared" si="0"/>
        <v>442.00010552182613</v>
      </c>
      <c r="F47">
        <f t="shared" si="1"/>
        <v>442</v>
      </c>
      <c r="G47">
        <f t="shared" si="5"/>
        <v>4.0319999243365601E-4</v>
      </c>
      <c r="I47">
        <f>+G47</f>
        <v>4.0319999243365601E-4</v>
      </c>
      <c r="O47">
        <f t="shared" ca="1" si="3"/>
        <v>1.3628302365506514E-2</v>
      </c>
      <c r="Q47" s="1">
        <f t="shared" si="4"/>
        <v>26819.006999999998</v>
      </c>
      <c r="AB47" t="s">
        <v>28</v>
      </c>
      <c r="AC47">
        <v>8</v>
      </c>
      <c r="AE47" t="s">
        <v>31</v>
      </c>
      <c r="AG47" t="s">
        <v>33</v>
      </c>
    </row>
    <row r="48" spans="1:33">
      <c r="A48" t="s">
        <v>41</v>
      </c>
      <c r="C48" s="4">
        <v>42628.442999999999</v>
      </c>
      <c r="D48" s="3"/>
      <c r="E48">
        <f t="shared" si="0"/>
        <v>648.99666329094441</v>
      </c>
      <c r="F48">
        <f t="shared" si="1"/>
        <v>649</v>
      </c>
      <c r="G48">
        <f t="shared" si="5"/>
        <v>-1.2749600005918182E-2</v>
      </c>
      <c r="I48">
        <f>+G48</f>
        <v>-1.2749600005918182E-2</v>
      </c>
      <c r="O48">
        <f t="shared" ca="1" si="3"/>
        <v>1.3532156379504083E-2</v>
      </c>
      <c r="Q48" s="1">
        <f t="shared" si="4"/>
        <v>27609.942999999999</v>
      </c>
      <c r="AB48" t="s">
        <v>28</v>
      </c>
      <c r="AC48">
        <v>6</v>
      </c>
      <c r="AE48" t="s">
        <v>31</v>
      </c>
      <c r="AG48" t="s">
        <v>33</v>
      </c>
    </row>
    <row r="49" spans="1:33">
      <c r="A49" t="s">
        <v>42</v>
      </c>
      <c r="C49" s="4">
        <v>42689.593999999997</v>
      </c>
      <c r="D49" s="3"/>
      <c r="E49">
        <f t="shared" si="0"/>
        <v>665.00054540547569</v>
      </c>
      <c r="F49">
        <f t="shared" si="1"/>
        <v>665</v>
      </c>
      <c r="G49">
        <f t="shared" si="5"/>
        <v>2.083999992464669E-3</v>
      </c>
      <c r="I49">
        <f>+G49</f>
        <v>2.083999992464669E-3</v>
      </c>
      <c r="O49">
        <f t="shared" ca="1" si="3"/>
        <v>1.3524724805706793E-2</v>
      </c>
      <c r="Q49" s="1">
        <f t="shared" si="4"/>
        <v>27671.093999999997</v>
      </c>
      <c r="AB49" t="s">
        <v>28</v>
      </c>
      <c r="AG49" t="s">
        <v>30</v>
      </c>
    </row>
    <row r="50" spans="1:33">
      <c r="A50" t="s">
        <v>43</v>
      </c>
      <c r="C50" s="4">
        <v>44806.453000000001</v>
      </c>
      <c r="D50" s="3"/>
      <c r="E50">
        <f t="shared" si="0"/>
        <v>1219.0055803040993</v>
      </c>
      <c r="F50">
        <f t="shared" si="1"/>
        <v>1219</v>
      </c>
      <c r="G50">
        <f t="shared" si="5"/>
        <v>2.1322399996279273E-2</v>
      </c>
      <c r="I50">
        <f t="shared" ref="I50:I59" si="6">+G50</f>
        <v>2.1322399996279273E-2</v>
      </c>
      <c r="O50">
        <f t="shared" ca="1" si="3"/>
        <v>1.3267406562975646E-2</v>
      </c>
      <c r="Q50" s="1">
        <f t="shared" si="4"/>
        <v>29787.953000000001</v>
      </c>
      <c r="AB50" t="s">
        <v>28</v>
      </c>
      <c r="AC50">
        <v>18</v>
      </c>
      <c r="AE50" t="s">
        <v>38</v>
      </c>
      <c r="AG50" t="s">
        <v>33</v>
      </c>
    </row>
    <row r="51" spans="1:33">
      <c r="A51" t="s">
        <v>44</v>
      </c>
      <c r="C51" s="4">
        <v>45895.434000000001</v>
      </c>
      <c r="D51" s="3"/>
      <c r="E51">
        <f t="shared" si="0"/>
        <v>1504.0037577495204</v>
      </c>
      <c r="F51">
        <f t="shared" si="1"/>
        <v>1504</v>
      </c>
      <c r="G51">
        <f t="shared" si="5"/>
        <v>1.4358399996126536E-2</v>
      </c>
      <c r="I51">
        <f t="shared" si="6"/>
        <v>1.4358399996126536E-2</v>
      </c>
      <c r="O51">
        <f t="shared" ca="1" si="3"/>
        <v>1.3135031654711428E-2</v>
      </c>
      <c r="Q51" s="1">
        <f t="shared" si="4"/>
        <v>30876.934000000001</v>
      </c>
      <c r="AB51" t="s">
        <v>28</v>
      </c>
      <c r="AC51">
        <v>8</v>
      </c>
      <c r="AE51" t="s">
        <v>31</v>
      </c>
      <c r="AG51" t="s">
        <v>33</v>
      </c>
    </row>
    <row r="52" spans="1:33">
      <c r="A52" t="s">
        <v>45</v>
      </c>
      <c r="C52" s="4">
        <v>46235.504999999997</v>
      </c>
      <c r="D52" s="3"/>
      <c r="E52">
        <f t="shared" si="0"/>
        <v>1593.0040389316905</v>
      </c>
      <c r="F52">
        <f t="shared" si="1"/>
        <v>1593</v>
      </c>
      <c r="G52">
        <f t="shared" si="5"/>
        <v>1.5432799991685897E-2</v>
      </c>
      <c r="I52">
        <f t="shared" si="6"/>
        <v>1.5432799991685897E-2</v>
      </c>
      <c r="O52">
        <f t="shared" ca="1" si="3"/>
        <v>1.3093693525464006E-2</v>
      </c>
      <c r="Q52" s="1">
        <f t="shared" si="4"/>
        <v>31217.004999999997</v>
      </c>
      <c r="AB52" t="s">
        <v>28</v>
      </c>
      <c r="AC52">
        <v>10</v>
      </c>
      <c r="AE52" t="s">
        <v>31</v>
      </c>
      <c r="AG52" t="s">
        <v>33</v>
      </c>
    </row>
    <row r="53" spans="1:33">
      <c r="A53" t="s">
        <v>45</v>
      </c>
      <c r="C53" s="4">
        <v>46258.45</v>
      </c>
      <c r="D53" s="3"/>
      <c r="E53">
        <f t="shared" si="0"/>
        <v>1599.00899510768</v>
      </c>
      <c r="F53">
        <f t="shared" si="1"/>
        <v>1599</v>
      </c>
      <c r="G53">
        <f t="shared" si="5"/>
        <v>3.4370399996987544E-2</v>
      </c>
      <c r="I53">
        <f t="shared" si="6"/>
        <v>3.4370399996987544E-2</v>
      </c>
      <c r="O53">
        <f t="shared" ca="1" si="3"/>
        <v>1.3090906685290022E-2</v>
      </c>
      <c r="Q53" s="1">
        <f t="shared" si="4"/>
        <v>31239.949999999997</v>
      </c>
      <c r="AB53" t="s">
        <v>28</v>
      </c>
      <c r="AC53">
        <v>12</v>
      </c>
      <c r="AE53" t="s">
        <v>31</v>
      </c>
      <c r="AG53" t="s">
        <v>33</v>
      </c>
    </row>
    <row r="54" spans="1:33">
      <c r="A54" t="s">
        <v>46</v>
      </c>
      <c r="C54" s="4">
        <v>46598.521000000001</v>
      </c>
      <c r="D54" s="3"/>
      <c r="E54">
        <f t="shared" si="0"/>
        <v>1688.0092762898521</v>
      </c>
      <c r="F54">
        <f t="shared" si="1"/>
        <v>1688</v>
      </c>
      <c r="G54">
        <f t="shared" si="5"/>
        <v>3.5444799999822862E-2</v>
      </c>
      <c r="I54">
        <f t="shared" si="6"/>
        <v>3.5444799999822862E-2</v>
      </c>
      <c r="O54">
        <f t="shared" ca="1" si="3"/>
        <v>1.30495685560426E-2</v>
      </c>
      <c r="Q54" s="1">
        <f t="shared" si="4"/>
        <v>31580.021000000001</v>
      </c>
      <c r="AB54" t="s">
        <v>28</v>
      </c>
      <c r="AC54">
        <v>8</v>
      </c>
      <c r="AE54" t="s">
        <v>31</v>
      </c>
      <c r="AG54" t="s">
        <v>33</v>
      </c>
    </row>
    <row r="55" spans="1:33">
      <c r="A55" t="s">
        <v>47</v>
      </c>
      <c r="C55" s="4">
        <v>48524.324999999997</v>
      </c>
      <c r="D55" s="3">
        <v>6.0000000000000001E-3</v>
      </c>
      <c r="E55">
        <f t="shared" si="0"/>
        <v>2192.0131387237248</v>
      </c>
      <c r="F55">
        <f t="shared" si="1"/>
        <v>2192</v>
      </c>
      <c r="G55">
        <f t="shared" si="5"/>
        <v>5.0203199993120506E-2</v>
      </c>
      <c r="J55">
        <f>+G55</f>
        <v>5.0203199993120506E-2</v>
      </c>
      <c r="O55">
        <f t="shared" ca="1" si="3"/>
        <v>1.2815473981427981E-2</v>
      </c>
      <c r="Q55" s="1">
        <f t="shared" si="4"/>
        <v>33505.824999999997</v>
      </c>
      <c r="AB55" t="s">
        <v>28</v>
      </c>
      <c r="AC55">
        <v>8</v>
      </c>
      <c r="AE55" t="s">
        <v>31</v>
      </c>
      <c r="AG55" t="s">
        <v>33</v>
      </c>
    </row>
    <row r="56" spans="1:33">
      <c r="A56" t="s">
        <v>48</v>
      </c>
      <c r="C56" s="4">
        <v>49544.527999999998</v>
      </c>
      <c r="D56" s="3">
        <v>6.0000000000000001E-3</v>
      </c>
      <c r="E56">
        <f t="shared" si="0"/>
        <v>2459.0113651614233</v>
      </c>
      <c r="F56">
        <f t="shared" si="1"/>
        <v>2459</v>
      </c>
      <c r="G56">
        <f t="shared" si="5"/>
        <v>4.3426399999589194E-2</v>
      </c>
      <c r="J56">
        <f>+G56</f>
        <v>4.3426399999589194E-2</v>
      </c>
      <c r="O56">
        <f t="shared" ca="1" si="3"/>
        <v>1.2691459593685714E-2</v>
      </c>
      <c r="Q56" s="1">
        <f t="shared" si="4"/>
        <v>34526.027999999998</v>
      </c>
      <c r="AB56" t="s">
        <v>28</v>
      </c>
      <c r="AC56">
        <v>7</v>
      </c>
      <c r="AE56" t="s">
        <v>31</v>
      </c>
      <c r="AG56" t="s">
        <v>33</v>
      </c>
    </row>
    <row r="57" spans="1:33">
      <c r="A57" t="s">
        <v>48</v>
      </c>
      <c r="C57" s="4">
        <v>49567.444000000003</v>
      </c>
      <c r="D57" s="3">
        <v>5.0000000000000001E-3</v>
      </c>
      <c r="E57">
        <f t="shared" si="0"/>
        <v>2465.0087317218504</v>
      </c>
      <c r="F57">
        <f t="shared" si="1"/>
        <v>2465</v>
      </c>
      <c r="G57">
        <f t="shared" si="5"/>
        <v>3.3364000002620742E-2</v>
      </c>
      <c r="J57">
        <f>+G57</f>
        <v>3.3364000002620742E-2</v>
      </c>
      <c r="O57">
        <f t="shared" ca="1" si="3"/>
        <v>1.2688672753511732E-2</v>
      </c>
      <c r="Q57" s="1">
        <f t="shared" si="4"/>
        <v>34548.944000000003</v>
      </c>
      <c r="AB57" t="s">
        <v>28</v>
      </c>
      <c r="AC57">
        <v>18</v>
      </c>
      <c r="AE57" t="s">
        <v>38</v>
      </c>
      <c r="AG57" t="s">
        <v>33</v>
      </c>
    </row>
    <row r="58" spans="1:33">
      <c r="A58" t="s">
        <v>49</v>
      </c>
      <c r="C58" s="4">
        <v>49842.578999999998</v>
      </c>
      <c r="D58" s="3">
        <v>5.0000000000000001E-3</v>
      </c>
      <c r="E58">
        <f t="shared" si="0"/>
        <v>2537.0145551030155</v>
      </c>
      <c r="F58">
        <f t="shared" si="1"/>
        <v>2537</v>
      </c>
      <c r="G58">
        <f t="shared" si="5"/>
        <v>5.5615199991734698E-2</v>
      </c>
      <c r="J58">
        <f>+G58</f>
        <v>5.5615199991734698E-2</v>
      </c>
      <c r="O58">
        <f t="shared" ca="1" si="3"/>
        <v>1.2655230671423929E-2</v>
      </c>
      <c r="Q58" s="1">
        <f t="shared" si="4"/>
        <v>34824.078999999998</v>
      </c>
      <c r="AB58" t="s">
        <v>28</v>
      </c>
      <c r="AC58">
        <v>6</v>
      </c>
      <c r="AE58" t="s">
        <v>31</v>
      </c>
      <c r="AG58" t="s">
        <v>33</v>
      </c>
    </row>
    <row r="59" spans="1:33">
      <c r="A59" t="s">
        <v>50</v>
      </c>
      <c r="C59" s="4">
        <v>50251.432999999997</v>
      </c>
      <c r="D59" s="3">
        <v>7.0000000000000001E-3</v>
      </c>
      <c r="E59">
        <f t="shared" si="0"/>
        <v>2644.016095847317</v>
      </c>
      <c r="F59">
        <f t="shared" si="1"/>
        <v>2644</v>
      </c>
      <c r="G59">
        <f t="shared" si="5"/>
        <v>6.1502399992605206E-2</v>
      </c>
      <c r="J59">
        <f>+G59</f>
        <v>6.1502399992605206E-2</v>
      </c>
      <c r="O59">
        <f t="shared" ca="1" si="3"/>
        <v>1.2605532021654556E-2</v>
      </c>
      <c r="Q59" s="1">
        <f t="shared" si="4"/>
        <v>35232.932999999997</v>
      </c>
      <c r="AB59" t="s">
        <v>28</v>
      </c>
      <c r="AC59">
        <v>6</v>
      </c>
      <c r="AE59" t="s">
        <v>31</v>
      </c>
      <c r="AG59" t="s">
        <v>33</v>
      </c>
    </row>
    <row r="60" spans="1:33">
      <c r="B60" s="2"/>
      <c r="C60" s="3"/>
      <c r="D60" s="3"/>
    </row>
    <row r="61" spans="1:33">
      <c r="B61" s="2"/>
      <c r="C61" s="3"/>
      <c r="D61" s="3"/>
    </row>
    <row r="62" spans="1:33">
      <c r="B62" s="2"/>
      <c r="C62" s="3"/>
      <c r="D62" s="3"/>
    </row>
    <row r="63" spans="1:33">
      <c r="B63" s="2"/>
      <c r="C63" s="3"/>
      <c r="D63" s="3"/>
    </row>
    <row r="64" spans="1:33">
      <c r="B64" s="2"/>
      <c r="C64" s="3"/>
      <c r="D64" s="3"/>
    </row>
    <row r="65" spans="2:4">
      <c r="B65" s="2"/>
      <c r="C65" s="3"/>
      <c r="D65" s="3"/>
    </row>
    <row r="66" spans="2:4">
      <c r="B66" s="2"/>
      <c r="C66" s="3"/>
      <c r="D66" s="3"/>
    </row>
    <row r="67" spans="2:4">
      <c r="B67" s="2"/>
      <c r="C67" s="3"/>
      <c r="D67" s="3"/>
    </row>
    <row r="68" spans="2:4">
      <c r="B68" s="2"/>
      <c r="C68" s="3"/>
      <c r="D68" s="3"/>
    </row>
    <row r="69" spans="2:4">
      <c r="B69" s="2"/>
      <c r="C69" s="3"/>
      <c r="D69" s="3"/>
    </row>
    <row r="70" spans="2:4">
      <c r="B70" s="2"/>
      <c r="C70" s="3"/>
      <c r="D70" s="3"/>
    </row>
    <row r="71" spans="2:4">
      <c r="B71" s="2"/>
      <c r="C71" s="3"/>
      <c r="D71" s="3"/>
    </row>
    <row r="72" spans="2:4">
      <c r="B72" s="2"/>
      <c r="C72" s="3"/>
      <c r="D72" s="3"/>
    </row>
    <row r="73" spans="2:4">
      <c r="B73" s="2"/>
      <c r="C73" s="3"/>
      <c r="D73" s="3"/>
    </row>
    <row r="74" spans="2:4">
      <c r="B74" s="2"/>
      <c r="C74" s="3"/>
      <c r="D74" s="3"/>
    </row>
    <row r="75" spans="2:4">
      <c r="B75" s="2"/>
      <c r="C75" s="3"/>
      <c r="D75" s="3"/>
    </row>
    <row r="76" spans="2:4">
      <c r="B76" s="2"/>
      <c r="C76" s="3"/>
      <c r="D76" s="3"/>
    </row>
    <row r="77" spans="2:4">
      <c r="B77" s="2"/>
      <c r="C77" s="3"/>
      <c r="D77" s="3"/>
    </row>
    <row r="78" spans="2:4">
      <c r="B78" s="2"/>
      <c r="C78" s="3"/>
      <c r="D78" s="3"/>
    </row>
    <row r="79" spans="2:4">
      <c r="B79" s="2"/>
      <c r="C79" s="3"/>
      <c r="D79" s="3"/>
    </row>
    <row r="80" spans="2:4">
      <c r="B80" s="2"/>
      <c r="C80" s="3"/>
      <c r="D80" s="3"/>
    </row>
    <row r="81" spans="2:4">
      <c r="B81" s="2"/>
      <c r="C81" s="3"/>
      <c r="D81" s="3"/>
    </row>
    <row r="82" spans="2:4">
      <c r="B82" s="2"/>
      <c r="C82" s="3"/>
      <c r="D82" s="3"/>
    </row>
    <row r="83" spans="2:4">
      <c r="B83" s="2"/>
      <c r="C83" s="3"/>
      <c r="D83" s="3"/>
    </row>
    <row r="84" spans="2:4">
      <c r="B84" s="2"/>
      <c r="C84" s="3"/>
      <c r="D84" s="3"/>
    </row>
    <row r="85" spans="2:4">
      <c r="B85" s="2"/>
      <c r="C85" s="3"/>
      <c r="D85" s="3"/>
    </row>
    <row r="86" spans="2:4">
      <c r="B86" s="2"/>
      <c r="C86" s="3"/>
      <c r="D86" s="3"/>
    </row>
    <row r="87" spans="2:4">
      <c r="B87" s="2"/>
      <c r="C87" s="3"/>
      <c r="D87" s="3"/>
    </row>
    <row r="88" spans="2:4">
      <c r="B88" s="2"/>
      <c r="C88" s="3"/>
      <c r="D88" s="3"/>
    </row>
    <row r="89" spans="2:4">
      <c r="B89" s="2"/>
      <c r="C89" s="3"/>
      <c r="D89" s="3"/>
    </row>
    <row r="90" spans="2:4">
      <c r="B90" s="2"/>
      <c r="C90" s="3"/>
      <c r="D90" s="3"/>
    </row>
    <row r="91" spans="2:4">
      <c r="B91" s="2"/>
      <c r="C91" s="3"/>
      <c r="D91" s="3"/>
    </row>
    <row r="92" spans="2:4">
      <c r="B92" s="2"/>
      <c r="C92" s="3"/>
      <c r="D92" s="3"/>
    </row>
    <row r="93" spans="2:4">
      <c r="B93" s="2"/>
      <c r="C93" s="3"/>
      <c r="D93" s="3"/>
    </row>
    <row r="94" spans="2:4">
      <c r="B94" s="2"/>
      <c r="C94" s="3"/>
      <c r="D94" s="3"/>
    </row>
    <row r="95" spans="2:4">
      <c r="B95" s="2"/>
      <c r="C95" s="3"/>
      <c r="D95" s="3"/>
    </row>
    <row r="96" spans="2:4">
      <c r="B96" s="2"/>
      <c r="C96" s="3"/>
      <c r="D96" s="3"/>
    </row>
    <row r="97" spans="2:4">
      <c r="B97" s="2"/>
      <c r="C97" s="3"/>
      <c r="D97" s="3"/>
    </row>
    <row r="98" spans="2:4">
      <c r="B98" s="2"/>
      <c r="C98" s="3"/>
      <c r="D98" s="3"/>
    </row>
    <row r="99" spans="2:4">
      <c r="B99" s="2"/>
      <c r="C99" s="3"/>
      <c r="D99" s="3"/>
    </row>
    <row r="100" spans="2:4">
      <c r="B100" s="2"/>
      <c r="C100" s="3"/>
      <c r="D100" s="3"/>
    </row>
    <row r="101" spans="2:4">
      <c r="B101" s="2"/>
      <c r="C101" s="3"/>
      <c r="D101" s="3"/>
    </row>
    <row r="102" spans="2:4">
      <c r="B102" s="2"/>
      <c r="C102" s="3"/>
      <c r="D102" s="3"/>
    </row>
    <row r="103" spans="2:4">
      <c r="B103" s="2"/>
      <c r="C103" s="3"/>
      <c r="D103" s="3"/>
    </row>
    <row r="104" spans="2:4">
      <c r="B104" s="2"/>
      <c r="C104" s="3"/>
      <c r="D104" s="3"/>
    </row>
    <row r="105" spans="2:4">
      <c r="C105" s="3"/>
      <c r="D105" s="3"/>
    </row>
    <row r="106" spans="2:4">
      <c r="C106" s="3"/>
      <c r="D106" s="3"/>
    </row>
    <row r="107" spans="2:4">
      <c r="C107" s="3"/>
      <c r="D107" s="3"/>
    </row>
    <row r="108" spans="2:4">
      <c r="C108" s="3"/>
      <c r="D108" s="3"/>
    </row>
    <row r="109" spans="2:4">
      <c r="C109" s="3"/>
      <c r="D109" s="3"/>
    </row>
    <row r="110" spans="2:4">
      <c r="C110" s="3"/>
      <c r="D110" s="3"/>
    </row>
    <row r="111" spans="2:4">
      <c r="C111" s="3"/>
      <c r="D111" s="3"/>
    </row>
    <row r="112" spans="2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0"/>
  <sheetViews>
    <sheetView workbookViewId="0">
      <selection activeCell="A30" sqref="A30:C45"/>
    </sheetView>
  </sheetViews>
  <sheetFormatPr defaultRowHeight="12.75"/>
  <cols>
    <col min="1" max="1" width="19.7109375" style="3" customWidth="1"/>
    <col min="2" max="2" width="4.42578125" style="6" customWidth="1"/>
    <col min="3" max="3" width="12.7109375" style="3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3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5" t="s">
        <v>54</v>
      </c>
      <c r="I1" s="7" t="s">
        <v>55</v>
      </c>
      <c r="J1" s="8" t="s">
        <v>56</v>
      </c>
    </row>
    <row r="2" spans="1:16">
      <c r="I2" s="9" t="s">
        <v>57</v>
      </c>
      <c r="J2" s="10" t="s">
        <v>58</v>
      </c>
    </row>
    <row r="3" spans="1:16">
      <c r="A3" s="11" t="s">
        <v>59</v>
      </c>
      <c r="I3" s="9" t="s">
        <v>60</v>
      </c>
      <c r="J3" s="10" t="s">
        <v>61</v>
      </c>
    </row>
    <row r="4" spans="1:16">
      <c r="I4" s="9" t="s">
        <v>62</v>
      </c>
      <c r="J4" s="10" t="s">
        <v>61</v>
      </c>
    </row>
    <row r="5" spans="1:16" ht="13.5" thickBot="1">
      <c r="I5" s="12" t="s">
        <v>63</v>
      </c>
      <c r="J5" s="13" t="s">
        <v>64</v>
      </c>
    </row>
    <row r="10" spans="1:16" ht="13.5" thickBot="1"/>
    <row r="11" spans="1:16" ht="12.75" customHeight="1" thickBot="1">
      <c r="A11" s="3" t="str">
        <f t="shared" ref="A11:A45" si="0">P11</f>
        <v> AA 24.363 </v>
      </c>
      <c r="B11" s="2" t="str">
        <f t="shared" ref="B11:B45" si="1">IF(H11=INT(H11),"I","II")</f>
        <v>I</v>
      </c>
      <c r="C11" s="3">
        <f t="shared" ref="C11:C45" si="2">1*G11</f>
        <v>40148.620000000003</v>
      </c>
      <c r="D11" s="6" t="str">
        <f t="shared" ref="D11:D45" si="3">VLOOKUP(F11,I$1:J$5,2,FALSE)</f>
        <v>vis</v>
      </c>
      <c r="E11" s="14">
        <f>VLOOKUP(C11,Active!C$21:E$973,3,FALSE)</f>
        <v>0</v>
      </c>
      <c r="F11" s="2" t="s">
        <v>63</v>
      </c>
      <c r="G11" s="6" t="str">
        <f t="shared" ref="G11:G45" si="4">MID(I11,3,LEN(I11)-3)</f>
        <v>40148.620</v>
      </c>
      <c r="H11" s="3">
        <f t="shared" ref="H11:H45" si="5">1*K11</f>
        <v>0</v>
      </c>
      <c r="I11" s="15" t="s">
        <v>129</v>
      </c>
      <c r="J11" s="16" t="s">
        <v>130</v>
      </c>
      <c r="K11" s="15">
        <v>0</v>
      </c>
      <c r="L11" s="15" t="s">
        <v>100</v>
      </c>
      <c r="M11" s="16" t="s">
        <v>131</v>
      </c>
      <c r="N11" s="16" t="s">
        <v>132</v>
      </c>
      <c r="O11" s="17" t="s">
        <v>133</v>
      </c>
      <c r="P11" s="17" t="s">
        <v>134</v>
      </c>
    </row>
    <row r="12" spans="1:16" ht="12.75" customHeight="1" thickBot="1">
      <c r="A12" s="3" t="str">
        <f t="shared" si="0"/>
        <v> ORI 113 </v>
      </c>
      <c r="B12" s="2" t="str">
        <f t="shared" si="1"/>
        <v>I</v>
      </c>
      <c r="C12" s="3">
        <f t="shared" si="2"/>
        <v>40385.500999999997</v>
      </c>
      <c r="D12" s="6" t="str">
        <f t="shared" si="3"/>
        <v>vis</v>
      </c>
      <c r="E12" s="14">
        <f>VLOOKUP(C12,Active!C$21:E$973,3,FALSE)</f>
        <v>61.994335320310547</v>
      </c>
      <c r="F12" s="2" t="s">
        <v>63</v>
      </c>
      <c r="G12" s="6" t="str">
        <f t="shared" si="4"/>
        <v>40385.501</v>
      </c>
      <c r="H12" s="3">
        <f t="shared" si="5"/>
        <v>62</v>
      </c>
      <c r="I12" s="15" t="s">
        <v>135</v>
      </c>
      <c r="J12" s="16" t="s">
        <v>136</v>
      </c>
      <c r="K12" s="15">
        <v>62</v>
      </c>
      <c r="L12" s="15" t="s">
        <v>137</v>
      </c>
      <c r="M12" s="16" t="s">
        <v>91</v>
      </c>
      <c r="N12" s="16"/>
      <c r="O12" s="17" t="s">
        <v>138</v>
      </c>
      <c r="P12" s="17" t="s">
        <v>139</v>
      </c>
    </row>
    <row r="13" spans="1:16" ht="12.75" customHeight="1" thickBot="1">
      <c r="A13" s="3" t="str">
        <f t="shared" si="0"/>
        <v> ORI 126 </v>
      </c>
      <c r="B13" s="2" t="str">
        <f t="shared" si="1"/>
        <v>I</v>
      </c>
      <c r="C13" s="3">
        <f t="shared" si="2"/>
        <v>41149.699000000001</v>
      </c>
      <c r="D13" s="6" t="str">
        <f t="shared" si="3"/>
        <v>vis</v>
      </c>
      <c r="E13" s="14">
        <f>VLOOKUP(C13,Active!C$21:E$973,3,FALSE)</f>
        <v>261.99326753991505</v>
      </c>
      <c r="F13" s="2" t="s">
        <v>63</v>
      </c>
      <c r="G13" s="6" t="str">
        <f t="shared" si="4"/>
        <v>41149.699</v>
      </c>
      <c r="H13" s="3">
        <f t="shared" si="5"/>
        <v>262</v>
      </c>
      <c r="I13" s="15" t="s">
        <v>140</v>
      </c>
      <c r="J13" s="16" t="s">
        <v>141</v>
      </c>
      <c r="K13" s="15">
        <v>262</v>
      </c>
      <c r="L13" s="15" t="s">
        <v>142</v>
      </c>
      <c r="M13" s="16" t="s">
        <v>91</v>
      </c>
      <c r="N13" s="16"/>
      <c r="O13" s="17" t="s">
        <v>143</v>
      </c>
      <c r="P13" s="17" t="s">
        <v>144</v>
      </c>
    </row>
    <row r="14" spans="1:16" ht="12.75" customHeight="1" thickBot="1">
      <c r="A14" s="3" t="str">
        <f t="shared" si="0"/>
        <v> ORI 126 </v>
      </c>
      <c r="B14" s="2" t="str">
        <f t="shared" si="1"/>
        <v>I</v>
      </c>
      <c r="C14" s="3">
        <f t="shared" si="2"/>
        <v>41176.46</v>
      </c>
      <c r="D14" s="6" t="str">
        <f t="shared" si="3"/>
        <v>vis</v>
      </c>
      <c r="E14" s="14">
        <f>VLOOKUP(C14,Active!C$21:E$973,3,FALSE)</f>
        <v>268.99691243970352</v>
      </c>
      <c r="F14" s="2" t="s">
        <v>63</v>
      </c>
      <c r="G14" s="6" t="str">
        <f t="shared" si="4"/>
        <v>41176.460</v>
      </c>
      <c r="H14" s="3">
        <f t="shared" si="5"/>
        <v>269</v>
      </c>
      <c r="I14" s="15" t="s">
        <v>145</v>
      </c>
      <c r="J14" s="16" t="s">
        <v>146</v>
      </c>
      <c r="K14" s="15">
        <v>269</v>
      </c>
      <c r="L14" s="15" t="s">
        <v>124</v>
      </c>
      <c r="M14" s="16" t="s">
        <v>91</v>
      </c>
      <c r="N14" s="16"/>
      <c r="O14" s="17" t="s">
        <v>138</v>
      </c>
      <c r="P14" s="17" t="s">
        <v>144</v>
      </c>
    </row>
    <row r="15" spans="1:16" ht="12.75" customHeight="1" thickBot="1">
      <c r="A15" s="3" t="str">
        <f t="shared" si="0"/>
        <v> ORI 127 </v>
      </c>
      <c r="B15" s="2" t="str">
        <f t="shared" si="1"/>
        <v>I</v>
      </c>
      <c r="C15" s="3">
        <f t="shared" si="2"/>
        <v>41176.47</v>
      </c>
      <c r="D15" s="6" t="str">
        <f t="shared" si="3"/>
        <v>vis</v>
      </c>
      <c r="E15" s="14">
        <f>VLOOKUP(C15,Active!C$21:E$973,3,FALSE)</f>
        <v>268.99952954851904</v>
      </c>
      <c r="F15" s="2" t="s">
        <v>63</v>
      </c>
      <c r="G15" s="6" t="str">
        <f t="shared" si="4"/>
        <v>41176.470</v>
      </c>
      <c r="H15" s="3">
        <f t="shared" si="5"/>
        <v>269</v>
      </c>
      <c r="I15" s="15" t="s">
        <v>147</v>
      </c>
      <c r="J15" s="16" t="s">
        <v>148</v>
      </c>
      <c r="K15" s="15">
        <v>269</v>
      </c>
      <c r="L15" s="15" t="s">
        <v>149</v>
      </c>
      <c r="M15" s="16" t="s">
        <v>91</v>
      </c>
      <c r="N15" s="16"/>
      <c r="O15" s="17" t="s">
        <v>150</v>
      </c>
      <c r="P15" s="17" t="s">
        <v>151</v>
      </c>
    </row>
    <row r="16" spans="1:16" ht="12.75" customHeight="1" thickBot="1">
      <c r="A16" s="3" t="str">
        <f t="shared" si="0"/>
        <v> BBS 10 </v>
      </c>
      <c r="B16" s="2" t="str">
        <f t="shared" si="1"/>
        <v>I</v>
      </c>
      <c r="C16" s="3">
        <f t="shared" si="2"/>
        <v>41837.504999999997</v>
      </c>
      <c r="D16" s="6" t="str">
        <f t="shared" si="3"/>
        <v>vis</v>
      </c>
      <c r="E16" s="14">
        <f>VLOOKUP(C16,Active!C$21:E$973,3,FALSE)</f>
        <v>441.99958210006304</v>
      </c>
      <c r="F16" s="2" t="s">
        <v>63</v>
      </c>
      <c r="G16" s="6" t="str">
        <f t="shared" si="4"/>
        <v>41837.505</v>
      </c>
      <c r="H16" s="3">
        <f t="shared" si="5"/>
        <v>442</v>
      </c>
      <c r="I16" s="15" t="s">
        <v>152</v>
      </c>
      <c r="J16" s="16" t="s">
        <v>153</v>
      </c>
      <c r="K16" s="15">
        <v>442</v>
      </c>
      <c r="L16" s="15" t="s">
        <v>149</v>
      </c>
      <c r="M16" s="16" t="s">
        <v>91</v>
      </c>
      <c r="N16" s="16"/>
      <c r="O16" s="17" t="s">
        <v>150</v>
      </c>
      <c r="P16" s="17" t="s">
        <v>154</v>
      </c>
    </row>
    <row r="17" spans="1:16" ht="12.75" customHeight="1" thickBot="1">
      <c r="A17" s="3" t="str">
        <f t="shared" si="0"/>
        <v> BBS 10 </v>
      </c>
      <c r="B17" s="2" t="str">
        <f t="shared" si="1"/>
        <v>I</v>
      </c>
      <c r="C17" s="3">
        <f t="shared" si="2"/>
        <v>41837.506999999998</v>
      </c>
      <c r="D17" s="6" t="str">
        <f t="shared" si="3"/>
        <v>vis</v>
      </c>
      <c r="E17" s="14">
        <f>VLOOKUP(C17,Active!C$21:E$973,3,FALSE)</f>
        <v>442.00010552182613</v>
      </c>
      <c r="F17" s="2" t="s">
        <v>63</v>
      </c>
      <c r="G17" s="6" t="str">
        <f t="shared" si="4"/>
        <v>41837.507</v>
      </c>
      <c r="H17" s="3">
        <f t="shared" si="5"/>
        <v>442</v>
      </c>
      <c r="I17" s="15" t="s">
        <v>155</v>
      </c>
      <c r="J17" s="16" t="s">
        <v>156</v>
      </c>
      <c r="K17" s="15">
        <v>442</v>
      </c>
      <c r="L17" s="15" t="s">
        <v>100</v>
      </c>
      <c r="M17" s="16" t="s">
        <v>91</v>
      </c>
      <c r="N17" s="16"/>
      <c r="O17" s="17" t="s">
        <v>138</v>
      </c>
      <c r="P17" s="17" t="s">
        <v>154</v>
      </c>
    </row>
    <row r="18" spans="1:16" ht="12.75" customHeight="1" thickBot="1">
      <c r="A18" s="3" t="str">
        <f t="shared" si="0"/>
        <v> BBS 23 </v>
      </c>
      <c r="B18" s="2" t="str">
        <f t="shared" si="1"/>
        <v>I</v>
      </c>
      <c r="C18" s="3">
        <f t="shared" si="2"/>
        <v>42628.442999999999</v>
      </c>
      <c r="D18" s="6" t="str">
        <f t="shared" si="3"/>
        <v>vis</v>
      </c>
      <c r="E18" s="14">
        <f>VLOOKUP(C18,Active!C$21:E$973,3,FALSE)</f>
        <v>648.99666329094441</v>
      </c>
      <c r="F18" s="2" t="s">
        <v>63</v>
      </c>
      <c r="G18" s="6" t="str">
        <f t="shared" si="4"/>
        <v>42628.443</v>
      </c>
      <c r="H18" s="3">
        <f t="shared" si="5"/>
        <v>649</v>
      </c>
      <c r="I18" s="15" t="s">
        <v>157</v>
      </c>
      <c r="J18" s="16" t="s">
        <v>158</v>
      </c>
      <c r="K18" s="15">
        <v>649</v>
      </c>
      <c r="L18" s="15" t="s">
        <v>159</v>
      </c>
      <c r="M18" s="16" t="s">
        <v>91</v>
      </c>
      <c r="N18" s="16"/>
      <c r="O18" s="17" t="s">
        <v>138</v>
      </c>
      <c r="P18" s="17" t="s">
        <v>160</v>
      </c>
    </row>
    <row r="19" spans="1:16" ht="12.75" customHeight="1" thickBot="1">
      <c r="A19" s="3" t="str">
        <f t="shared" si="0"/>
        <v>IBVS 1249 </v>
      </c>
      <c r="B19" s="2" t="str">
        <f t="shared" si="1"/>
        <v>I</v>
      </c>
      <c r="C19" s="3">
        <f t="shared" si="2"/>
        <v>42689.593999999997</v>
      </c>
      <c r="D19" s="6" t="str">
        <f t="shared" si="3"/>
        <v>vis</v>
      </c>
      <c r="E19" s="14">
        <f>VLOOKUP(C19,Active!C$21:E$973,3,FALSE)</f>
        <v>665.00054540547569</v>
      </c>
      <c r="F19" s="2" t="s">
        <v>63</v>
      </c>
      <c r="G19" s="6" t="str">
        <f t="shared" si="4"/>
        <v>42689.594</v>
      </c>
      <c r="H19" s="3">
        <f t="shared" si="5"/>
        <v>665</v>
      </c>
      <c r="I19" s="15" t="s">
        <v>161</v>
      </c>
      <c r="J19" s="16" t="s">
        <v>162</v>
      </c>
      <c r="K19" s="15">
        <v>665</v>
      </c>
      <c r="L19" s="15" t="s">
        <v>163</v>
      </c>
      <c r="M19" s="16" t="s">
        <v>91</v>
      </c>
      <c r="N19" s="16"/>
      <c r="O19" s="17" t="s">
        <v>164</v>
      </c>
      <c r="P19" s="18" t="s">
        <v>165</v>
      </c>
    </row>
    <row r="20" spans="1:16" ht="12.75" customHeight="1" thickBot="1">
      <c r="A20" s="3" t="str">
        <f t="shared" si="0"/>
        <v> BBS 56 </v>
      </c>
      <c r="B20" s="2" t="str">
        <f t="shared" si="1"/>
        <v>I</v>
      </c>
      <c r="C20" s="3">
        <f t="shared" si="2"/>
        <v>44806.453000000001</v>
      </c>
      <c r="D20" s="6" t="str">
        <f t="shared" si="3"/>
        <v>vis</v>
      </c>
      <c r="E20" s="14">
        <f>VLOOKUP(C20,Active!C$21:E$973,3,FALSE)</f>
        <v>1219.0055803040993</v>
      </c>
      <c r="F20" s="2" t="s">
        <v>63</v>
      </c>
      <c r="G20" s="6" t="str">
        <f t="shared" si="4"/>
        <v>44806.453</v>
      </c>
      <c r="H20" s="3">
        <f t="shared" si="5"/>
        <v>1219</v>
      </c>
      <c r="I20" s="15" t="s">
        <v>166</v>
      </c>
      <c r="J20" s="16" t="s">
        <v>167</v>
      </c>
      <c r="K20" s="15">
        <v>1219</v>
      </c>
      <c r="L20" s="15" t="s">
        <v>168</v>
      </c>
      <c r="M20" s="16" t="s">
        <v>91</v>
      </c>
      <c r="N20" s="16"/>
      <c r="O20" s="17" t="s">
        <v>150</v>
      </c>
      <c r="P20" s="17" t="s">
        <v>169</v>
      </c>
    </row>
    <row r="21" spans="1:16" ht="12.75" customHeight="1" thickBot="1">
      <c r="A21" s="3" t="str">
        <f t="shared" si="0"/>
        <v> BBS 73 </v>
      </c>
      <c r="B21" s="2" t="str">
        <f t="shared" si="1"/>
        <v>I</v>
      </c>
      <c r="C21" s="3">
        <f t="shared" si="2"/>
        <v>45895.434000000001</v>
      </c>
      <c r="D21" s="6" t="str">
        <f t="shared" si="3"/>
        <v>vis</v>
      </c>
      <c r="E21" s="14">
        <f>VLOOKUP(C21,Active!C$21:E$973,3,FALSE)</f>
        <v>1504.0037577495204</v>
      </c>
      <c r="F21" s="2" t="s">
        <v>63</v>
      </c>
      <c r="G21" s="6" t="str">
        <f t="shared" si="4"/>
        <v>45895.434</v>
      </c>
      <c r="H21" s="3">
        <f t="shared" si="5"/>
        <v>1504</v>
      </c>
      <c r="I21" s="15" t="s">
        <v>170</v>
      </c>
      <c r="J21" s="16" t="s">
        <v>171</v>
      </c>
      <c r="K21" s="15">
        <v>1504</v>
      </c>
      <c r="L21" s="15" t="s">
        <v>172</v>
      </c>
      <c r="M21" s="16" t="s">
        <v>91</v>
      </c>
      <c r="N21" s="16"/>
      <c r="O21" s="17" t="s">
        <v>138</v>
      </c>
      <c r="P21" s="17" t="s">
        <v>173</v>
      </c>
    </row>
    <row r="22" spans="1:16" ht="12.75" customHeight="1" thickBot="1">
      <c r="A22" s="3" t="str">
        <f t="shared" si="0"/>
        <v> BBS 77 </v>
      </c>
      <c r="B22" s="2" t="str">
        <f t="shared" si="1"/>
        <v>I</v>
      </c>
      <c r="C22" s="3">
        <f t="shared" si="2"/>
        <v>46235.504999999997</v>
      </c>
      <c r="D22" s="6" t="str">
        <f t="shared" si="3"/>
        <v>vis</v>
      </c>
      <c r="E22" s="14">
        <f>VLOOKUP(C22,Active!C$21:E$973,3,FALSE)</f>
        <v>1593.0040389316905</v>
      </c>
      <c r="F22" s="2" t="s">
        <v>63</v>
      </c>
      <c r="G22" s="6" t="str">
        <f t="shared" si="4"/>
        <v>46235.505</v>
      </c>
      <c r="H22" s="3">
        <f t="shared" si="5"/>
        <v>1593</v>
      </c>
      <c r="I22" s="15" t="s">
        <v>174</v>
      </c>
      <c r="J22" s="16" t="s">
        <v>175</v>
      </c>
      <c r="K22" s="15">
        <v>1593</v>
      </c>
      <c r="L22" s="15" t="s">
        <v>176</v>
      </c>
      <c r="M22" s="16" t="s">
        <v>91</v>
      </c>
      <c r="N22" s="16"/>
      <c r="O22" s="17" t="s">
        <v>138</v>
      </c>
      <c r="P22" s="17" t="s">
        <v>177</v>
      </c>
    </row>
    <row r="23" spans="1:16" ht="12.75" customHeight="1" thickBot="1">
      <c r="A23" s="3" t="str">
        <f t="shared" si="0"/>
        <v> BBS 77 </v>
      </c>
      <c r="B23" s="2" t="str">
        <f t="shared" si="1"/>
        <v>I</v>
      </c>
      <c r="C23" s="3">
        <f t="shared" si="2"/>
        <v>46258.45</v>
      </c>
      <c r="D23" s="6" t="str">
        <f t="shared" si="3"/>
        <v>vis</v>
      </c>
      <c r="E23" s="14">
        <f>VLOOKUP(C23,Active!C$21:E$973,3,FALSE)</f>
        <v>1599.00899510768</v>
      </c>
      <c r="F23" s="2" t="s">
        <v>63</v>
      </c>
      <c r="G23" s="6" t="str">
        <f t="shared" si="4"/>
        <v>46258.450</v>
      </c>
      <c r="H23" s="3">
        <f t="shared" si="5"/>
        <v>1599</v>
      </c>
      <c r="I23" s="15" t="s">
        <v>178</v>
      </c>
      <c r="J23" s="16" t="s">
        <v>179</v>
      </c>
      <c r="K23" s="15">
        <v>1599</v>
      </c>
      <c r="L23" s="15" t="s">
        <v>180</v>
      </c>
      <c r="M23" s="16" t="s">
        <v>91</v>
      </c>
      <c r="N23" s="16"/>
      <c r="O23" s="17" t="s">
        <v>138</v>
      </c>
      <c r="P23" s="17" t="s">
        <v>177</v>
      </c>
    </row>
    <row r="24" spans="1:16" ht="12.75" customHeight="1" thickBot="1">
      <c r="A24" s="3" t="str">
        <f t="shared" si="0"/>
        <v> BBS 80 </v>
      </c>
      <c r="B24" s="2" t="str">
        <f t="shared" si="1"/>
        <v>I</v>
      </c>
      <c r="C24" s="3">
        <f t="shared" si="2"/>
        <v>46598.521000000001</v>
      </c>
      <c r="D24" s="6" t="str">
        <f t="shared" si="3"/>
        <v>vis</v>
      </c>
      <c r="E24" s="14">
        <f>VLOOKUP(C24,Active!C$21:E$973,3,FALSE)</f>
        <v>1688.0092762898521</v>
      </c>
      <c r="F24" s="2" t="s">
        <v>63</v>
      </c>
      <c r="G24" s="6" t="str">
        <f t="shared" si="4"/>
        <v>46598.521</v>
      </c>
      <c r="H24" s="3">
        <f t="shared" si="5"/>
        <v>1688</v>
      </c>
      <c r="I24" s="15" t="s">
        <v>181</v>
      </c>
      <c r="J24" s="16" t="s">
        <v>182</v>
      </c>
      <c r="K24" s="15">
        <v>1688</v>
      </c>
      <c r="L24" s="15" t="s">
        <v>183</v>
      </c>
      <c r="M24" s="16" t="s">
        <v>91</v>
      </c>
      <c r="N24" s="16"/>
      <c r="O24" s="17" t="s">
        <v>138</v>
      </c>
      <c r="P24" s="17" t="s">
        <v>184</v>
      </c>
    </row>
    <row r="25" spans="1:16" ht="12.75" customHeight="1" thickBot="1">
      <c r="A25" s="3" t="str">
        <f t="shared" si="0"/>
        <v> BBS 99 </v>
      </c>
      <c r="B25" s="2" t="str">
        <f t="shared" si="1"/>
        <v>I</v>
      </c>
      <c r="C25" s="3">
        <f t="shared" si="2"/>
        <v>48524.324999999997</v>
      </c>
      <c r="D25" s="6" t="str">
        <f t="shared" si="3"/>
        <v>vis</v>
      </c>
      <c r="E25" s="14">
        <f>VLOOKUP(C25,Active!C$21:E$973,3,FALSE)</f>
        <v>2192.0131387237248</v>
      </c>
      <c r="F25" s="2" t="s">
        <v>63</v>
      </c>
      <c r="G25" s="6" t="str">
        <f t="shared" si="4"/>
        <v>48524.325</v>
      </c>
      <c r="H25" s="3">
        <f t="shared" si="5"/>
        <v>2192</v>
      </c>
      <c r="I25" s="15" t="s">
        <v>185</v>
      </c>
      <c r="J25" s="16" t="s">
        <v>186</v>
      </c>
      <c r="K25" s="15">
        <v>2192</v>
      </c>
      <c r="L25" s="15" t="s">
        <v>187</v>
      </c>
      <c r="M25" s="16" t="s">
        <v>91</v>
      </c>
      <c r="N25" s="16"/>
      <c r="O25" s="17" t="s">
        <v>138</v>
      </c>
      <c r="P25" s="17" t="s">
        <v>188</v>
      </c>
    </row>
    <row r="26" spans="1:16" ht="12.75" customHeight="1" thickBot="1">
      <c r="A26" s="3" t="str">
        <f t="shared" si="0"/>
        <v> BBS 107 </v>
      </c>
      <c r="B26" s="2" t="str">
        <f t="shared" si="1"/>
        <v>I</v>
      </c>
      <c r="C26" s="3">
        <f t="shared" si="2"/>
        <v>49544.527999999998</v>
      </c>
      <c r="D26" s="6" t="str">
        <f t="shared" si="3"/>
        <v>vis</v>
      </c>
      <c r="E26" s="14">
        <f>VLOOKUP(C26,Active!C$21:E$973,3,FALSE)</f>
        <v>2459.0113651614233</v>
      </c>
      <c r="F26" s="2" t="s">
        <v>63</v>
      </c>
      <c r="G26" s="6" t="str">
        <f t="shared" si="4"/>
        <v>49544.528</v>
      </c>
      <c r="H26" s="3">
        <f t="shared" si="5"/>
        <v>2459</v>
      </c>
      <c r="I26" s="15" t="s">
        <v>189</v>
      </c>
      <c r="J26" s="16" t="s">
        <v>190</v>
      </c>
      <c r="K26" s="15">
        <v>2459</v>
      </c>
      <c r="L26" s="15" t="s">
        <v>191</v>
      </c>
      <c r="M26" s="16" t="s">
        <v>91</v>
      </c>
      <c r="N26" s="16"/>
      <c r="O26" s="17" t="s">
        <v>138</v>
      </c>
      <c r="P26" s="17" t="s">
        <v>192</v>
      </c>
    </row>
    <row r="27" spans="1:16" ht="12.75" customHeight="1" thickBot="1">
      <c r="A27" s="3" t="str">
        <f t="shared" si="0"/>
        <v> BBS 107 </v>
      </c>
      <c r="B27" s="2" t="str">
        <f t="shared" si="1"/>
        <v>I</v>
      </c>
      <c r="C27" s="3">
        <f t="shared" si="2"/>
        <v>49567.444000000003</v>
      </c>
      <c r="D27" s="6" t="str">
        <f t="shared" si="3"/>
        <v>vis</v>
      </c>
      <c r="E27" s="14">
        <f>VLOOKUP(C27,Active!C$21:E$973,3,FALSE)</f>
        <v>2465.0087317218504</v>
      </c>
      <c r="F27" s="2" t="s">
        <v>63</v>
      </c>
      <c r="G27" s="6" t="str">
        <f t="shared" si="4"/>
        <v>49567.444</v>
      </c>
      <c r="H27" s="3">
        <f t="shared" si="5"/>
        <v>2465</v>
      </c>
      <c r="I27" s="15" t="s">
        <v>193</v>
      </c>
      <c r="J27" s="16" t="s">
        <v>194</v>
      </c>
      <c r="K27" s="15">
        <v>2465</v>
      </c>
      <c r="L27" s="15" t="s">
        <v>195</v>
      </c>
      <c r="M27" s="16" t="s">
        <v>91</v>
      </c>
      <c r="N27" s="16"/>
      <c r="O27" s="17" t="s">
        <v>150</v>
      </c>
      <c r="P27" s="17" t="s">
        <v>192</v>
      </c>
    </row>
    <row r="28" spans="1:16" ht="12.75" customHeight="1" thickBot="1">
      <c r="A28" s="3" t="str">
        <f t="shared" si="0"/>
        <v> BBS 109 </v>
      </c>
      <c r="B28" s="2" t="str">
        <f t="shared" si="1"/>
        <v>I</v>
      </c>
      <c r="C28" s="3">
        <f t="shared" si="2"/>
        <v>49842.578999999998</v>
      </c>
      <c r="D28" s="6" t="str">
        <f t="shared" si="3"/>
        <v>vis</v>
      </c>
      <c r="E28" s="14">
        <f>VLOOKUP(C28,Active!C$21:E$973,3,FALSE)</f>
        <v>2537.0145551030155</v>
      </c>
      <c r="F28" s="2" t="s">
        <v>63</v>
      </c>
      <c r="G28" s="6" t="str">
        <f t="shared" si="4"/>
        <v>49842.579</v>
      </c>
      <c r="H28" s="3">
        <f t="shared" si="5"/>
        <v>2537</v>
      </c>
      <c r="I28" s="15" t="s">
        <v>196</v>
      </c>
      <c r="J28" s="16" t="s">
        <v>197</v>
      </c>
      <c r="K28" s="15">
        <v>2537</v>
      </c>
      <c r="L28" s="15" t="s">
        <v>198</v>
      </c>
      <c r="M28" s="16" t="s">
        <v>91</v>
      </c>
      <c r="N28" s="16"/>
      <c r="O28" s="17" t="s">
        <v>138</v>
      </c>
      <c r="P28" s="17" t="s">
        <v>199</v>
      </c>
    </row>
    <row r="29" spans="1:16" ht="12.75" customHeight="1" thickBot="1">
      <c r="A29" s="3" t="str">
        <f t="shared" si="0"/>
        <v> BBS 112 </v>
      </c>
      <c r="B29" s="2" t="str">
        <f t="shared" si="1"/>
        <v>I</v>
      </c>
      <c r="C29" s="3">
        <f t="shared" si="2"/>
        <v>50251.432999999997</v>
      </c>
      <c r="D29" s="6" t="str">
        <f t="shared" si="3"/>
        <v>vis</v>
      </c>
      <c r="E29" s="14">
        <f>VLOOKUP(C29,Active!C$21:E$973,3,FALSE)</f>
        <v>2644.016095847317</v>
      </c>
      <c r="F29" s="2" t="s">
        <v>63</v>
      </c>
      <c r="G29" s="6" t="str">
        <f t="shared" si="4"/>
        <v>50251.433</v>
      </c>
      <c r="H29" s="3">
        <f t="shared" si="5"/>
        <v>2644</v>
      </c>
      <c r="I29" s="15" t="s">
        <v>200</v>
      </c>
      <c r="J29" s="16" t="s">
        <v>201</v>
      </c>
      <c r="K29" s="15">
        <v>2644</v>
      </c>
      <c r="L29" s="15" t="s">
        <v>202</v>
      </c>
      <c r="M29" s="16" t="s">
        <v>91</v>
      </c>
      <c r="N29" s="16"/>
      <c r="O29" s="17" t="s">
        <v>138</v>
      </c>
      <c r="P29" s="17" t="s">
        <v>203</v>
      </c>
    </row>
    <row r="30" spans="1:16" ht="12.75" customHeight="1" thickBot="1">
      <c r="A30" s="3" t="str">
        <f t="shared" si="0"/>
        <v> AN 228.320 </v>
      </c>
      <c r="B30" s="2" t="str">
        <f t="shared" si="1"/>
        <v>I</v>
      </c>
      <c r="C30" s="3">
        <f t="shared" si="2"/>
        <v>18529.37</v>
      </c>
      <c r="D30" s="6" t="str">
        <f t="shared" si="3"/>
        <v>vis</v>
      </c>
      <c r="E30" s="14">
        <f>VLOOKUP(C30,Active!C$21:E$973,3,FALSE)</f>
        <v>-5657.9929748424665</v>
      </c>
      <c r="F30" s="2" t="s">
        <v>63</v>
      </c>
      <c r="G30" s="6" t="str">
        <f t="shared" si="4"/>
        <v>18529.37</v>
      </c>
      <c r="H30" s="3">
        <f t="shared" si="5"/>
        <v>-5658</v>
      </c>
      <c r="I30" s="15" t="s">
        <v>66</v>
      </c>
      <c r="J30" s="16" t="s">
        <v>67</v>
      </c>
      <c r="K30" s="15">
        <v>-5658</v>
      </c>
      <c r="L30" s="15" t="s">
        <v>68</v>
      </c>
      <c r="M30" s="16" t="s">
        <v>69</v>
      </c>
      <c r="N30" s="16"/>
      <c r="O30" s="17" t="s">
        <v>70</v>
      </c>
      <c r="P30" s="17" t="s">
        <v>71</v>
      </c>
    </row>
    <row r="31" spans="1:16" ht="12.75" customHeight="1" thickBot="1">
      <c r="A31" s="3" t="str">
        <f t="shared" si="0"/>
        <v> BAN 9.399 </v>
      </c>
      <c r="B31" s="2" t="str">
        <f t="shared" si="1"/>
        <v>I</v>
      </c>
      <c r="C31" s="3">
        <f t="shared" si="2"/>
        <v>18915.292000000001</v>
      </c>
      <c r="D31" s="6" t="str">
        <f t="shared" si="3"/>
        <v>vis</v>
      </c>
      <c r="E31" s="14">
        <f>VLOOKUP(C31,Active!C$21:E$973,3,FALSE)</f>
        <v>-5556.9929880326945</v>
      </c>
      <c r="F31" s="2" t="s">
        <v>63</v>
      </c>
      <c r="G31" s="6" t="str">
        <f t="shared" si="4"/>
        <v>18915.292</v>
      </c>
      <c r="H31" s="3">
        <f t="shared" si="5"/>
        <v>-5557</v>
      </c>
      <c r="I31" s="15" t="s">
        <v>72</v>
      </c>
      <c r="J31" s="16" t="s">
        <v>73</v>
      </c>
      <c r="K31" s="15">
        <v>-5557</v>
      </c>
      <c r="L31" s="15" t="s">
        <v>74</v>
      </c>
      <c r="M31" s="16" t="s">
        <v>69</v>
      </c>
      <c r="N31" s="16"/>
      <c r="O31" s="17" t="s">
        <v>75</v>
      </c>
      <c r="P31" s="17" t="s">
        <v>76</v>
      </c>
    </row>
    <row r="32" spans="1:16" ht="12.75" customHeight="1" thickBot="1">
      <c r="A32" s="3" t="str">
        <f t="shared" si="0"/>
        <v> AN 228.320 </v>
      </c>
      <c r="B32" s="2" t="str">
        <f t="shared" si="1"/>
        <v>I</v>
      </c>
      <c r="C32" s="3">
        <f t="shared" si="2"/>
        <v>24467.200000000001</v>
      </c>
      <c r="D32" s="6" t="str">
        <f t="shared" si="3"/>
        <v>vis</v>
      </c>
      <c r="E32" s="14">
        <f>VLOOKUP(C32,Active!C$21:E$973,3,FALSE)</f>
        <v>-4103.9982513525747</v>
      </c>
      <c r="F32" s="2" t="s">
        <v>63</v>
      </c>
      <c r="G32" s="6" t="str">
        <f t="shared" si="4"/>
        <v>24467.20</v>
      </c>
      <c r="H32" s="3">
        <f t="shared" si="5"/>
        <v>-4104</v>
      </c>
      <c r="I32" s="15" t="s">
        <v>77</v>
      </c>
      <c r="J32" s="16" t="s">
        <v>78</v>
      </c>
      <c r="K32" s="15">
        <v>-4104</v>
      </c>
      <c r="L32" s="15" t="s">
        <v>79</v>
      </c>
      <c r="M32" s="16" t="s">
        <v>69</v>
      </c>
      <c r="N32" s="16"/>
      <c r="O32" s="17" t="s">
        <v>70</v>
      </c>
      <c r="P32" s="17" t="s">
        <v>71</v>
      </c>
    </row>
    <row r="33" spans="1:16" ht="12.75" customHeight="1" thickBot="1">
      <c r="A33" s="3" t="str">
        <f t="shared" si="0"/>
        <v> AN 228.320 </v>
      </c>
      <c r="B33" s="2" t="str">
        <f t="shared" si="1"/>
        <v>I</v>
      </c>
      <c r="C33" s="3">
        <f t="shared" si="2"/>
        <v>24696.38</v>
      </c>
      <c r="D33" s="6" t="str">
        <f t="shared" si="3"/>
        <v>vis</v>
      </c>
      <c r="E33" s="14">
        <f>VLOOKUP(C33,Active!C$21:E$973,3,FALSE)</f>
        <v>-4044.0193515306846</v>
      </c>
      <c r="F33" s="2" t="s">
        <v>63</v>
      </c>
      <c r="G33" s="6" t="str">
        <f t="shared" si="4"/>
        <v>24696.38</v>
      </c>
      <c r="H33" s="3">
        <f t="shared" si="5"/>
        <v>-4044</v>
      </c>
      <c r="I33" s="15" t="s">
        <v>80</v>
      </c>
      <c r="J33" s="16" t="s">
        <v>81</v>
      </c>
      <c r="K33" s="15">
        <v>-4044</v>
      </c>
      <c r="L33" s="15" t="s">
        <v>82</v>
      </c>
      <c r="M33" s="16" t="s">
        <v>69</v>
      </c>
      <c r="N33" s="16"/>
      <c r="O33" s="17" t="s">
        <v>70</v>
      </c>
      <c r="P33" s="17" t="s">
        <v>71</v>
      </c>
    </row>
    <row r="34" spans="1:16" ht="12.75" customHeight="1" thickBot="1">
      <c r="A34" s="3" t="str">
        <f t="shared" si="0"/>
        <v> IODE 4.2.363 </v>
      </c>
      <c r="B34" s="2" t="str">
        <f t="shared" si="1"/>
        <v>I</v>
      </c>
      <c r="C34" s="3">
        <f t="shared" si="2"/>
        <v>24723.279999999999</v>
      </c>
      <c r="D34" s="6" t="str">
        <f t="shared" si="3"/>
        <v>vis</v>
      </c>
      <c r="E34" s="14">
        <f>VLOOKUP(C34,Active!C$21:E$973,3,FALSE)</f>
        <v>-4036.9793288183678</v>
      </c>
      <c r="F34" s="2" t="s">
        <v>63</v>
      </c>
      <c r="G34" s="6" t="str">
        <f t="shared" si="4"/>
        <v>24723.28</v>
      </c>
      <c r="H34" s="3">
        <f t="shared" si="5"/>
        <v>-4037</v>
      </c>
      <c r="I34" s="15" t="s">
        <v>83</v>
      </c>
      <c r="J34" s="16" t="s">
        <v>84</v>
      </c>
      <c r="K34" s="15">
        <v>-4037</v>
      </c>
      <c r="L34" s="15" t="s">
        <v>85</v>
      </c>
      <c r="M34" s="16" t="s">
        <v>69</v>
      </c>
      <c r="N34" s="16"/>
      <c r="O34" s="17" t="s">
        <v>86</v>
      </c>
      <c r="P34" s="17" t="s">
        <v>87</v>
      </c>
    </row>
    <row r="35" spans="1:16" ht="12.75" customHeight="1" thickBot="1">
      <c r="A35" s="3" t="str">
        <f t="shared" si="0"/>
        <v> AC 23.4 </v>
      </c>
      <c r="B35" s="2" t="str">
        <f t="shared" si="1"/>
        <v>I</v>
      </c>
      <c r="C35" s="3">
        <f t="shared" si="2"/>
        <v>24765.232</v>
      </c>
      <c r="D35" s="6" t="str">
        <f t="shared" si="3"/>
        <v>vis</v>
      </c>
      <c r="E35" s="14">
        <f>VLOOKUP(C35,Active!C$21:E$973,3,FALSE)</f>
        <v>-4026.0000339177309</v>
      </c>
      <c r="F35" s="2" t="s">
        <v>63</v>
      </c>
      <c r="G35" s="6" t="str">
        <f t="shared" si="4"/>
        <v>24765.232</v>
      </c>
      <c r="H35" s="3">
        <f t="shared" si="5"/>
        <v>-4026</v>
      </c>
      <c r="I35" s="15" t="s">
        <v>88</v>
      </c>
      <c r="J35" s="16" t="s">
        <v>89</v>
      </c>
      <c r="K35" s="15">
        <v>-4026</v>
      </c>
      <c r="L35" s="15" t="s">
        <v>90</v>
      </c>
      <c r="M35" s="16" t="s">
        <v>91</v>
      </c>
      <c r="N35" s="16"/>
      <c r="O35" s="17" t="s">
        <v>86</v>
      </c>
      <c r="P35" s="17" t="s">
        <v>92</v>
      </c>
    </row>
    <row r="36" spans="1:16" ht="12.75" customHeight="1" thickBot="1">
      <c r="A36" s="3" t="str">
        <f t="shared" si="0"/>
        <v> AN 229.452 </v>
      </c>
      <c r="B36" s="2" t="str">
        <f t="shared" si="1"/>
        <v>I</v>
      </c>
      <c r="C36" s="3">
        <f t="shared" si="2"/>
        <v>24788.18</v>
      </c>
      <c r="D36" s="6" t="str">
        <f t="shared" si="3"/>
        <v>vis</v>
      </c>
      <c r="E36" s="14">
        <f>VLOOKUP(C36,Active!C$21:E$973,3,FALSE)</f>
        <v>-4019.9942926090966</v>
      </c>
      <c r="F36" s="2" t="s">
        <v>63</v>
      </c>
      <c r="G36" s="6" t="str">
        <f t="shared" si="4"/>
        <v>24788.18</v>
      </c>
      <c r="H36" s="3">
        <f t="shared" si="5"/>
        <v>-4020</v>
      </c>
      <c r="I36" s="15" t="s">
        <v>93</v>
      </c>
      <c r="J36" s="16" t="s">
        <v>94</v>
      </c>
      <c r="K36" s="15">
        <v>-4020</v>
      </c>
      <c r="L36" s="15" t="s">
        <v>95</v>
      </c>
      <c r="M36" s="16" t="s">
        <v>91</v>
      </c>
      <c r="N36" s="16"/>
      <c r="O36" s="17" t="s">
        <v>96</v>
      </c>
      <c r="P36" s="17" t="s">
        <v>97</v>
      </c>
    </row>
    <row r="37" spans="1:16" ht="12.75" customHeight="1" thickBot="1">
      <c r="A37" s="3" t="str">
        <f t="shared" si="0"/>
        <v> ANBO 2.C.42 </v>
      </c>
      <c r="B37" s="2" t="str">
        <f t="shared" si="1"/>
        <v>I</v>
      </c>
      <c r="C37" s="3">
        <f t="shared" si="2"/>
        <v>25040.345000000001</v>
      </c>
      <c r="D37" s="6" t="str">
        <f t="shared" si="3"/>
        <v>vis</v>
      </c>
      <c r="E37" s="14">
        <f>VLOOKUP(C37,Active!C$21:E$973,3,FALSE)</f>
        <v>-3953.9999681759573</v>
      </c>
      <c r="F37" s="2" t="s">
        <v>63</v>
      </c>
      <c r="G37" s="6" t="str">
        <f t="shared" si="4"/>
        <v>25040.345</v>
      </c>
      <c r="H37" s="3">
        <f t="shared" si="5"/>
        <v>-3954</v>
      </c>
      <c r="I37" s="15" t="s">
        <v>98</v>
      </c>
      <c r="J37" s="16" t="s">
        <v>99</v>
      </c>
      <c r="K37" s="15">
        <v>-3954</v>
      </c>
      <c r="L37" s="15" t="s">
        <v>100</v>
      </c>
      <c r="M37" s="16" t="s">
        <v>65</v>
      </c>
      <c r="N37" s="16"/>
      <c r="O37" s="17" t="s">
        <v>101</v>
      </c>
      <c r="P37" s="17" t="s">
        <v>102</v>
      </c>
    </row>
    <row r="38" spans="1:16" ht="12.75" customHeight="1" thickBot="1">
      <c r="A38" s="3" t="str">
        <f t="shared" si="0"/>
        <v> AC 23.4 </v>
      </c>
      <c r="B38" s="2" t="str">
        <f t="shared" si="1"/>
        <v>II</v>
      </c>
      <c r="C38" s="3">
        <f t="shared" si="2"/>
        <v>25199.132000000001</v>
      </c>
      <c r="D38" s="6" t="str">
        <f t="shared" si="3"/>
        <v>vis</v>
      </c>
      <c r="E38" s="14">
        <f>VLOOKUP(C38,Active!C$21:E$973,3,FALSE)</f>
        <v>-3912.4436824354107</v>
      </c>
      <c r="F38" s="2" t="s">
        <v>63</v>
      </c>
      <c r="G38" s="6" t="str">
        <f t="shared" si="4"/>
        <v>25199.132</v>
      </c>
      <c r="H38" s="3">
        <f t="shared" si="5"/>
        <v>-3912.5</v>
      </c>
      <c r="I38" s="15" t="s">
        <v>103</v>
      </c>
      <c r="J38" s="16" t="s">
        <v>104</v>
      </c>
      <c r="K38" s="15">
        <v>-3912.5</v>
      </c>
      <c r="L38" s="15" t="s">
        <v>105</v>
      </c>
      <c r="M38" s="16" t="s">
        <v>91</v>
      </c>
      <c r="N38" s="16"/>
      <c r="O38" s="17" t="s">
        <v>86</v>
      </c>
      <c r="P38" s="17" t="s">
        <v>92</v>
      </c>
    </row>
    <row r="39" spans="1:16" ht="12.75" customHeight="1" thickBot="1">
      <c r="A39" s="3" t="str">
        <f t="shared" si="0"/>
        <v> CTAD 1 </v>
      </c>
      <c r="B39" s="2" t="str">
        <f t="shared" si="1"/>
        <v>I</v>
      </c>
      <c r="C39" s="3">
        <f t="shared" si="2"/>
        <v>26557.305</v>
      </c>
      <c r="D39" s="6" t="str">
        <f t="shared" si="3"/>
        <v>vis</v>
      </c>
      <c r="E39" s="14">
        <f>VLOOKUP(C39,Active!C$21:E$973,3,FALSE)</f>
        <v>-3556.9950293775705</v>
      </c>
      <c r="F39" s="2" t="s">
        <v>63</v>
      </c>
      <c r="G39" s="6" t="str">
        <f t="shared" si="4"/>
        <v>26557.305</v>
      </c>
      <c r="H39" s="3">
        <f t="shared" si="5"/>
        <v>-3557</v>
      </c>
      <c r="I39" s="15" t="s">
        <v>106</v>
      </c>
      <c r="J39" s="16" t="s">
        <v>107</v>
      </c>
      <c r="K39" s="15">
        <v>-3557</v>
      </c>
      <c r="L39" s="15" t="s">
        <v>108</v>
      </c>
      <c r="M39" s="16" t="s">
        <v>91</v>
      </c>
      <c r="N39" s="16"/>
      <c r="O39" s="17" t="s">
        <v>86</v>
      </c>
      <c r="P39" s="17" t="s">
        <v>109</v>
      </c>
    </row>
    <row r="40" spans="1:16" ht="12.75" customHeight="1" thickBot="1">
      <c r="A40" s="3" t="str">
        <f t="shared" si="0"/>
        <v> AC 23.4 </v>
      </c>
      <c r="B40" s="2" t="str">
        <f t="shared" si="1"/>
        <v>I</v>
      </c>
      <c r="C40" s="3">
        <f t="shared" si="2"/>
        <v>26576.400000000001</v>
      </c>
      <c r="D40" s="6" t="str">
        <f t="shared" si="3"/>
        <v>vis</v>
      </c>
      <c r="E40" s="14">
        <f>VLOOKUP(C40,Active!C$21:E$973,3,FALSE)</f>
        <v>-3551.997660095351</v>
      </c>
      <c r="F40" s="2" t="s">
        <v>63</v>
      </c>
      <c r="G40" s="6" t="str">
        <f t="shared" si="4"/>
        <v>26576.400</v>
      </c>
      <c r="H40" s="3">
        <f t="shared" si="5"/>
        <v>-3552</v>
      </c>
      <c r="I40" s="15" t="s">
        <v>110</v>
      </c>
      <c r="J40" s="16" t="s">
        <v>111</v>
      </c>
      <c r="K40" s="15">
        <v>-3552</v>
      </c>
      <c r="L40" s="15" t="s">
        <v>112</v>
      </c>
      <c r="M40" s="16" t="s">
        <v>91</v>
      </c>
      <c r="N40" s="16"/>
      <c r="O40" s="17" t="s">
        <v>86</v>
      </c>
      <c r="P40" s="17" t="s">
        <v>92</v>
      </c>
    </row>
    <row r="41" spans="1:16" ht="12.75" customHeight="1" thickBot="1">
      <c r="A41" s="3" t="str">
        <f t="shared" si="0"/>
        <v> CTAD 1 </v>
      </c>
      <c r="B41" s="2" t="str">
        <f t="shared" si="1"/>
        <v>I</v>
      </c>
      <c r="C41" s="3">
        <f t="shared" si="2"/>
        <v>26665.275000000001</v>
      </c>
      <c r="D41" s="6" t="str">
        <f t="shared" si="3"/>
        <v>vis</v>
      </c>
      <c r="E41" s="14">
        <f>VLOOKUP(C41,Active!C$21:E$973,3,FALSE)</f>
        <v>-3528.7381055021469</v>
      </c>
      <c r="F41" s="2" t="s">
        <v>63</v>
      </c>
      <c r="G41" s="6" t="str">
        <f t="shared" si="4"/>
        <v>26665.275</v>
      </c>
      <c r="H41" s="3">
        <f t="shared" si="5"/>
        <v>-3529</v>
      </c>
      <c r="I41" s="15" t="s">
        <v>113</v>
      </c>
      <c r="J41" s="16" t="s">
        <v>114</v>
      </c>
      <c r="K41" s="15">
        <v>-3529</v>
      </c>
      <c r="L41" s="15" t="s">
        <v>115</v>
      </c>
      <c r="M41" s="16" t="s">
        <v>91</v>
      </c>
      <c r="N41" s="16"/>
      <c r="O41" s="17" t="s">
        <v>86</v>
      </c>
      <c r="P41" s="17" t="s">
        <v>109</v>
      </c>
    </row>
    <row r="42" spans="1:16" ht="12.75" customHeight="1" thickBot="1">
      <c r="A42" s="3" t="str">
        <f t="shared" si="0"/>
        <v> BAN 9.399 </v>
      </c>
      <c r="B42" s="2" t="str">
        <f t="shared" si="1"/>
        <v>I</v>
      </c>
      <c r="C42" s="3">
        <f t="shared" si="2"/>
        <v>28815.502</v>
      </c>
      <c r="D42" s="6" t="str">
        <f t="shared" si="3"/>
        <v>vis</v>
      </c>
      <c r="E42" s="14">
        <f>VLOOKUP(C42,Active!C$21:E$973,3,FALSE)</f>
        <v>-2966.0003019096735</v>
      </c>
      <c r="F42" s="2" t="s">
        <v>63</v>
      </c>
      <c r="G42" s="6" t="str">
        <f t="shared" si="4"/>
        <v>28815.502</v>
      </c>
      <c r="H42" s="3">
        <f t="shared" si="5"/>
        <v>-2966</v>
      </c>
      <c r="I42" s="15" t="s">
        <v>116</v>
      </c>
      <c r="J42" s="16" t="s">
        <v>117</v>
      </c>
      <c r="K42" s="15">
        <v>-2966</v>
      </c>
      <c r="L42" s="15" t="s">
        <v>118</v>
      </c>
      <c r="M42" s="16" t="s">
        <v>65</v>
      </c>
      <c r="N42" s="16"/>
      <c r="O42" s="17" t="s">
        <v>75</v>
      </c>
      <c r="P42" s="17" t="s">
        <v>76</v>
      </c>
    </row>
    <row r="43" spans="1:16" ht="12.75" customHeight="1" thickBot="1">
      <c r="A43" s="3" t="str">
        <f t="shared" si="0"/>
        <v> AC 23.4 </v>
      </c>
      <c r="B43" s="2" t="str">
        <f t="shared" si="1"/>
        <v>I</v>
      </c>
      <c r="C43" s="3">
        <f t="shared" si="2"/>
        <v>30615.190999999999</v>
      </c>
      <c r="D43" s="6" t="str">
        <f t="shared" si="3"/>
        <v>vis</v>
      </c>
      <c r="E43" s="14">
        <f>VLOOKUP(C43,Active!C$21:E$973,3,FALSE)</f>
        <v>-2495.0021072960189</v>
      </c>
      <c r="F43" s="2" t="s">
        <v>63</v>
      </c>
      <c r="G43" s="6" t="str">
        <f t="shared" si="4"/>
        <v>30615.191</v>
      </c>
      <c r="H43" s="3">
        <f t="shared" si="5"/>
        <v>-2495</v>
      </c>
      <c r="I43" s="15" t="s">
        <v>119</v>
      </c>
      <c r="J43" s="16" t="s">
        <v>120</v>
      </c>
      <c r="K43" s="15">
        <v>-2495</v>
      </c>
      <c r="L43" s="15" t="s">
        <v>121</v>
      </c>
      <c r="M43" s="16" t="s">
        <v>91</v>
      </c>
      <c r="N43" s="16"/>
      <c r="O43" s="17" t="s">
        <v>86</v>
      </c>
      <c r="P43" s="17" t="s">
        <v>92</v>
      </c>
    </row>
    <row r="44" spans="1:16" ht="12.75" customHeight="1" thickBot="1">
      <c r="A44" s="3" t="str">
        <f t="shared" si="0"/>
        <v> AC 23.4 </v>
      </c>
      <c r="B44" s="2" t="str">
        <f t="shared" si="1"/>
        <v>I</v>
      </c>
      <c r="C44" s="3">
        <f t="shared" si="2"/>
        <v>30932.330999999998</v>
      </c>
      <c r="D44" s="6" t="str">
        <f t="shared" si="3"/>
        <v>vis</v>
      </c>
      <c r="E44" s="14">
        <f>VLOOKUP(C44,Active!C$21:E$973,3,FALSE)</f>
        <v>-2412.0031183374963</v>
      </c>
      <c r="F44" s="2" t="s">
        <v>63</v>
      </c>
      <c r="G44" s="6" t="str">
        <f t="shared" si="4"/>
        <v>30932.331</v>
      </c>
      <c r="H44" s="3">
        <f t="shared" si="5"/>
        <v>-2412</v>
      </c>
      <c r="I44" s="15" t="s">
        <v>122</v>
      </c>
      <c r="J44" s="16" t="s">
        <v>123</v>
      </c>
      <c r="K44" s="15">
        <v>-2412</v>
      </c>
      <c r="L44" s="15" t="s">
        <v>124</v>
      </c>
      <c r="M44" s="16" t="s">
        <v>91</v>
      </c>
      <c r="N44" s="16"/>
      <c r="O44" s="17" t="s">
        <v>86</v>
      </c>
      <c r="P44" s="17" t="s">
        <v>92</v>
      </c>
    </row>
    <row r="45" spans="1:16" ht="12.75" customHeight="1" thickBot="1">
      <c r="A45" s="3" t="str">
        <f t="shared" si="0"/>
        <v> AA 6.145 </v>
      </c>
      <c r="B45" s="2" t="str">
        <f t="shared" si="1"/>
        <v>I</v>
      </c>
      <c r="C45" s="3">
        <f t="shared" si="2"/>
        <v>34604.334000000003</v>
      </c>
      <c r="D45" s="6" t="str">
        <f t="shared" si="3"/>
        <v>vis</v>
      </c>
      <c r="E45" s="14">
        <f>VLOOKUP(C45,Active!C$21:E$973,3,FALSE)</f>
        <v>-1450.9999763413364</v>
      </c>
      <c r="F45" s="2" t="s">
        <v>63</v>
      </c>
      <c r="G45" s="6" t="str">
        <f t="shared" si="4"/>
        <v>34604.334</v>
      </c>
      <c r="H45" s="3">
        <f t="shared" si="5"/>
        <v>-1451</v>
      </c>
      <c r="I45" s="15" t="s">
        <v>125</v>
      </c>
      <c r="J45" s="16" t="s">
        <v>126</v>
      </c>
      <c r="K45" s="15">
        <v>-1451</v>
      </c>
      <c r="L45" s="15" t="s">
        <v>100</v>
      </c>
      <c r="M45" s="16" t="s">
        <v>91</v>
      </c>
      <c r="N45" s="16"/>
      <c r="O45" s="17" t="s">
        <v>127</v>
      </c>
      <c r="P45" s="17" t="s">
        <v>128</v>
      </c>
    </row>
    <row r="46" spans="1:16">
      <c r="B46" s="2"/>
      <c r="E46" s="14"/>
      <c r="F46" s="2"/>
    </row>
    <row r="47" spans="1:16">
      <c r="B47" s="2"/>
      <c r="E47" s="14"/>
      <c r="F47" s="2"/>
    </row>
    <row r="48" spans="1:16">
      <c r="B48" s="2"/>
      <c r="E48" s="14"/>
      <c r="F48" s="2"/>
    </row>
    <row r="49" spans="2:6">
      <c r="B49" s="2"/>
      <c r="E49" s="14"/>
      <c r="F49" s="2"/>
    </row>
    <row r="50" spans="2:6">
      <c r="B50" s="2"/>
      <c r="E50" s="14"/>
      <c r="F50" s="2"/>
    </row>
    <row r="51" spans="2:6">
      <c r="B51" s="2"/>
      <c r="E51" s="14"/>
      <c r="F51" s="2"/>
    </row>
    <row r="52" spans="2:6">
      <c r="B52" s="2"/>
      <c r="E52" s="14"/>
      <c r="F52" s="2"/>
    </row>
    <row r="53" spans="2:6">
      <c r="B53" s="2"/>
      <c r="E53" s="14"/>
      <c r="F53" s="2"/>
    </row>
    <row r="54" spans="2:6">
      <c r="B54" s="2"/>
      <c r="E54" s="14"/>
      <c r="F54" s="2"/>
    </row>
    <row r="55" spans="2:6">
      <c r="B55" s="2"/>
      <c r="E55" s="14"/>
      <c r="F55" s="2"/>
    </row>
    <row r="56" spans="2:6">
      <c r="B56" s="2"/>
      <c r="E56" s="14"/>
      <c r="F56" s="2"/>
    </row>
    <row r="57" spans="2:6">
      <c r="B57" s="2"/>
      <c r="E57" s="14"/>
      <c r="F57" s="2"/>
    </row>
    <row r="58" spans="2:6">
      <c r="B58" s="2"/>
      <c r="E58" s="14"/>
      <c r="F58" s="2"/>
    </row>
    <row r="59" spans="2:6">
      <c r="B59" s="2"/>
      <c r="E59" s="14"/>
      <c r="F59" s="2"/>
    </row>
    <row r="60" spans="2:6">
      <c r="B60" s="2"/>
      <c r="E60" s="14"/>
      <c r="F60" s="2"/>
    </row>
    <row r="61" spans="2:6">
      <c r="B61" s="2"/>
      <c r="E61" s="14"/>
      <c r="F61" s="2"/>
    </row>
    <row r="62" spans="2:6">
      <c r="B62" s="2"/>
      <c r="E62" s="14"/>
      <c r="F62" s="2"/>
    </row>
    <row r="63" spans="2:6">
      <c r="B63" s="2"/>
      <c r="E63" s="14"/>
      <c r="F63" s="2"/>
    </row>
    <row r="64" spans="2:6">
      <c r="B64" s="2"/>
      <c r="E64" s="14"/>
      <c r="F64" s="2"/>
    </row>
    <row r="65" spans="2:6">
      <c r="B65" s="2"/>
      <c r="E65" s="14"/>
      <c r="F65" s="2"/>
    </row>
    <row r="66" spans="2:6">
      <c r="B66" s="2"/>
      <c r="E66" s="14"/>
      <c r="F66" s="2"/>
    </row>
    <row r="67" spans="2:6">
      <c r="B67" s="2"/>
      <c r="E67" s="14"/>
      <c r="F67" s="2"/>
    </row>
    <row r="68" spans="2:6">
      <c r="B68" s="2"/>
      <c r="E68" s="14"/>
      <c r="F68" s="2"/>
    </row>
    <row r="69" spans="2:6">
      <c r="B69" s="2"/>
      <c r="E69" s="14"/>
      <c r="F69" s="2"/>
    </row>
    <row r="70" spans="2:6">
      <c r="B70" s="2"/>
      <c r="E70" s="14"/>
      <c r="F70" s="2"/>
    </row>
    <row r="71" spans="2:6">
      <c r="B71" s="2"/>
      <c r="E71" s="14"/>
      <c r="F71" s="2"/>
    </row>
    <row r="72" spans="2:6">
      <c r="B72" s="2"/>
      <c r="E72" s="14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</sheetData>
  <phoneticPr fontId="7" type="noConversion"/>
  <hyperlinks>
    <hyperlink ref="P19" r:id="rId1" display="http://www.konkoly.hu/cgi-bin/IBVS?124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2024-03-05T05:33:06Z</dcterms:modified>
</cp:coreProperties>
</file>