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A2C542E-5246-40BA-BA6B-B6C9B34F4E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1" i="1" l="1"/>
  <c r="Q22" i="1"/>
  <c r="Q23" i="1"/>
  <c r="Q24" i="1"/>
  <c r="Q26" i="1"/>
  <c r="Q27" i="1"/>
  <c r="Q28" i="1"/>
  <c r="Q29" i="1"/>
  <c r="Q30" i="1"/>
  <c r="G11" i="2"/>
  <c r="C1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E12" i="2"/>
  <c r="H11" i="2"/>
  <c r="B11" i="2"/>
  <c r="D11" i="2"/>
  <c r="A1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F11" i="1"/>
  <c r="Q31" i="1"/>
  <c r="G11" i="1"/>
  <c r="C7" i="1"/>
  <c r="E21" i="1"/>
  <c r="F21" i="1"/>
  <c r="C8" i="1"/>
  <c r="E15" i="1"/>
  <c r="C17" i="1"/>
  <c r="Q25" i="1"/>
  <c r="E17" i="2"/>
  <c r="E13" i="2"/>
  <c r="E20" i="2"/>
  <c r="E31" i="1"/>
  <c r="F31" i="1"/>
  <c r="G31" i="1"/>
  <c r="K31" i="1"/>
  <c r="E23" i="1"/>
  <c r="E29" i="1"/>
  <c r="F29" i="1"/>
  <c r="G28" i="1"/>
  <c r="I28" i="1"/>
  <c r="E26" i="1"/>
  <c r="F26" i="1"/>
  <c r="G26" i="1"/>
  <c r="I26" i="1"/>
  <c r="E25" i="1"/>
  <c r="F25" i="1"/>
  <c r="G25" i="1"/>
  <c r="H25" i="1"/>
  <c r="E22" i="1"/>
  <c r="F22" i="1"/>
  <c r="G22" i="1"/>
  <c r="I22" i="1"/>
  <c r="G30" i="1"/>
  <c r="I30" i="1"/>
  <c r="E28" i="1"/>
  <c r="F28" i="1"/>
  <c r="G27" i="1"/>
  <c r="I27" i="1"/>
  <c r="E24" i="1"/>
  <c r="F24" i="1"/>
  <c r="G24" i="1"/>
  <c r="I24" i="1"/>
  <c r="G21" i="1"/>
  <c r="E30" i="1"/>
  <c r="F30" i="1"/>
  <c r="G29" i="1"/>
  <c r="I29" i="1"/>
  <c r="E27" i="1"/>
  <c r="F27" i="1"/>
  <c r="E15" i="2"/>
  <c r="E11" i="2"/>
  <c r="E19" i="2"/>
  <c r="I21" i="1"/>
  <c r="E16" i="2"/>
  <c r="F23" i="1"/>
  <c r="G23" i="1"/>
  <c r="E14" i="2"/>
  <c r="E18" i="2"/>
  <c r="I23" i="1"/>
  <c r="C11" i="1"/>
  <c r="C12" i="1" l="1"/>
  <c r="C16" i="1" l="1"/>
  <c r="D18" i="1" s="1"/>
  <c r="C15" i="1"/>
  <c r="O26" i="1"/>
  <c r="O27" i="1"/>
  <c r="O22" i="1"/>
  <c r="O24" i="1"/>
  <c r="O25" i="1"/>
  <c r="O23" i="1"/>
  <c r="O29" i="1"/>
  <c r="O28" i="1"/>
  <c r="O31" i="1"/>
  <c r="O30" i="1"/>
  <c r="O21" i="1"/>
  <c r="C18" i="1" l="1"/>
  <c r="E16" i="1"/>
  <c r="E17" i="1" s="1"/>
</calcChain>
</file>

<file path=xl/sharedStrings.xml><?xml version="1.0" encoding="utf-8"?>
<sst xmlns="http://schemas.openxmlformats.org/spreadsheetml/2006/main" count="146" uniqueCount="87">
  <si>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</si>
  <si>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</si>
  <si>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</si>
  <si>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</si>
  <si>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</si>
  <si>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</si>
  <si>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</si>
  <si>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</si>
  <si>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</si>
  <si>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</si>
  <si>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</si>
  <si>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</si>
  <si>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</si>
  <si>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</si>
  <si>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</si>
  <si>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</si>
  <si>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</si>
  <si>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</si>
  <si>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</si>
  <si>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</si>
  <si>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</si>
  <si>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</si>
  <si>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</si>
  <si>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</si>
  <si>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</si>
  <si>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</si>
  <si>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</si>
  <si>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</si>
  <si>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</si>
  <si>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</si>
  <si>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</si>
  <si>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</si>
  <si>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</si>
  <si>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</si>
  <si>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</si>
  <si>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</si>
  <si>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CR Sct / GSC 5697-2825 </t>
  </si>
  <si>
    <t>IBVS 5897</t>
  </si>
  <si>
    <t>I</t>
  </si>
  <si>
    <t>EA/D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</si>
  <si>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</si>
  <si>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</si>
  <si>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</si>
  <si>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</si>
  <si>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</si>
  <si>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</si>
  <si>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</si>
  <si>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</si>
  <si>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</si>
  <si>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</si>
  <si>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</si>
  <si>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2427901.95 </t>
  </si>
  <si>
    <t> 09.04.1935 10:48 </t>
  </si>
  <si>
    <t> 0.02 </t>
  </si>
  <si>
    <t>P </t>
  </si>
  <si>
    <t> P.T.Oosterhoff </t>
  </si>
  <si>
    <t> BAN 9.389 </t>
  </si>
  <si>
    <t>2427962.82 </t>
  </si>
  <si>
    <t> 09.06.1935 07:40 </t>
  </si>
  <si>
    <t> 0.03 </t>
  </si>
  <si>
    <t>2427983.78 </t>
  </si>
  <si>
    <t> 30.06.1935 06:43 </t>
  </si>
  <si>
    <t>2428006.77 </t>
  </si>
  <si>
    <t> 23.07.1935 06:28 </t>
  </si>
  <si>
    <t>2428069.64 </t>
  </si>
  <si>
    <t> 24.09.1935 03:21 </t>
  </si>
  <si>
    <t> 0.01 </t>
  </si>
  <si>
    <t>2428719.48 </t>
  </si>
  <si>
    <t> 04.07.1937 23:31 </t>
  </si>
  <si>
    <t> 0.04 </t>
  </si>
  <si>
    <t>2428780.36 </t>
  </si>
  <si>
    <t> 03.09.1937 20:38 </t>
  </si>
  <si>
    <t> 0.07 </t>
  </si>
  <si>
    <t>2429438.50 </t>
  </si>
  <si>
    <t> 24.06.1939 00:00 </t>
  </si>
  <si>
    <t>2429457.28 </t>
  </si>
  <si>
    <t> 12.07.1939 18:43 </t>
  </si>
  <si>
    <t> -0.01 </t>
  </si>
  <si>
    <t>2454305.3571 </t>
  </si>
  <si>
    <t> 23.07.2007 20:34 </t>
  </si>
  <si>
    <t> 0.1612 </t>
  </si>
  <si>
    <t>C </t>
  </si>
  <si>
    <t>R</t>
  </si>
  <si>
    <t> A.Liakos &amp; P.Niarchos </t>
  </si>
  <si>
    <t>IBVS 5897 </t>
  </si>
  <si>
    <t>II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</si>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</sst>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8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Sct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-25.5</c:v>
                </c:pt>
                <c:pt idx="2">
                  <c:v>-20.5</c:v>
                </c:pt>
                <c:pt idx="3">
                  <c:v>-15</c:v>
                </c:pt>
                <c:pt idx="4">
                  <c:v>0</c:v>
                </c:pt>
                <c:pt idx="5">
                  <c:v>0</c:v>
                </c:pt>
                <c:pt idx="6">
                  <c:v>155</c:v>
                </c:pt>
                <c:pt idx="7">
                  <c:v>169.5</c:v>
                </c:pt>
                <c:pt idx="8">
                  <c:v>326.5</c:v>
                </c:pt>
                <c:pt idx="9">
                  <c:v>331</c:v>
                </c:pt>
                <c:pt idx="10">
                  <c:v>6258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2E-4C6E-8C24-8DAA7668AA4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-25.5</c:v>
                </c:pt>
                <c:pt idx="2">
                  <c:v>-20.5</c:v>
                </c:pt>
                <c:pt idx="3">
                  <c:v>-15</c:v>
                </c:pt>
                <c:pt idx="4">
                  <c:v>0</c:v>
                </c:pt>
                <c:pt idx="5">
                  <c:v>0</c:v>
                </c:pt>
                <c:pt idx="6">
                  <c:v>155</c:v>
                </c:pt>
                <c:pt idx="7">
                  <c:v>169.5</c:v>
                </c:pt>
                <c:pt idx="8">
                  <c:v>326.5</c:v>
                </c:pt>
                <c:pt idx="9">
                  <c:v>331</c:v>
                </c:pt>
                <c:pt idx="10">
                  <c:v>6258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1.6999999999825377E-2</c:v>
                </c:pt>
                <c:pt idx="1">
                  <c:v>9.8287500000878936E-2</c:v>
                </c:pt>
                <c:pt idx="2">
                  <c:v>9.6662500000093132E-2</c:v>
                </c:pt>
                <c:pt idx="3">
                  <c:v>2.8874999999970896E-2</c:v>
                </c:pt>
                <c:pt idx="5">
                  <c:v>1.3999999999214197E-2</c:v>
                </c:pt>
                <c:pt idx="6">
                  <c:v>4.3624999998428393E-2</c:v>
                </c:pt>
                <c:pt idx="7">
                  <c:v>0.13491250000151922</c:v>
                </c:pt>
                <c:pt idx="8">
                  <c:v>7.9887500000040745E-2</c:v>
                </c:pt>
                <c:pt idx="9">
                  <c:v>-5.5750000028638169E-3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2E-4C6E-8C24-8DAA7668AA4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-25.5</c:v>
                </c:pt>
                <c:pt idx="2">
                  <c:v>-20.5</c:v>
                </c:pt>
                <c:pt idx="3">
                  <c:v>-15</c:v>
                </c:pt>
                <c:pt idx="4">
                  <c:v>0</c:v>
                </c:pt>
                <c:pt idx="5">
                  <c:v>0</c:v>
                </c:pt>
                <c:pt idx="6">
                  <c:v>155</c:v>
                </c:pt>
                <c:pt idx="7">
                  <c:v>169.5</c:v>
                </c:pt>
                <c:pt idx="8">
                  <c:v>326.5</c:v>
                </c:pt>
                <c:pt idx="9">
                  <c:v>331</c:v>
                </c:pt>
                <c:pt idx="10">
                  <c:v>6258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2E-4C6E-8C24-8DAA7668AA4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-25.5</c:v>
                </c:pt>
                <c:pt idx="2">
                  <c:v>-20.5</c:v>
                </c:pt>
                <c:pt idx="3">
                  <c:v>-15</c:v>
                </c:pt>
                <c:pt idx="4">
                  <c:v>0</c:v>
                </c:pt>
                <c:pt idx="5">
                  <c:v>0</c:v>
                </c:pt>
                <c:pt idx="6">
                  <c:v>155</c:v>
                </c:pt>
                <c:pt idx="7">
                  <c:v>169.5</c:v>
                </c:pt>
                <c:pt idx="8">
                  <c:v>326.5</c:v>
                </c:pt>
                <c:pt idx="9">
                  <c:v>331</c:v>
                </c:pt>
                <c:pt idx="10">
                  <c:v>6258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0">
                  <c:v>0.16124999999738066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2E-4C6E-8C24-8DAA7668AA4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-25.5</c:v>
                </c:pt>
                <c:pt idx="2">
                  <c:v>-20.5</c:v>
                </c:pt>
                <c:pt idx="3">
                  <c:v>-15</c:v>
                </c:pt>
                <c:pt idx="4">
                  <c:v>0</c:v>
                </c:pt>
                <c:pt idx="5">
                  <c:v>0</c:v>
                </c:pt>
                <c:pt idx="6">
                  <c:v>155</c:v>
                </c:pt>
                <c:pt idx="7">
                  <c:v>169.5</c:v>
                </c:pt>
                <c:pt idx="8">
                  <c:v>326.5</c:v>
                </c:pt>
                <c:pt idx="9">
                  <c:v>331</c:v>
                </c:pt>
                <c:pt idx="10">
                  <c:v>6258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2E-4C6E-8C24-8DAA7668AA4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-25.5</c:v>
                </c:pt>
                <c:pt idx="2">
                  <c:v>-20.5</c:v>
                </c:pt>
                <c:pt idx="3">
                  <c:v>-15</c:v>
                </c:pt>
                <c:pt idx="4">
                  <c:v>0</c:v>
                </c:pt>
                <c:pt idx="5">
                  <c:v>0</c:v>
                </c:pt>
                <c:pt idx="6">
                  <c:v>155</c:v>
                </c:pt>
                <c:pt idx="7">
                  <c:v>169.5</c:v>
                </c:pt>
                <c:pt idx="8">
                  <c:v>326.5</c:v>
                </c:pt>
                <c:pt idx="9">
                  <c:v>331</c:v>
                </c:pt>
                <c:pt idx="10">
                  <c:v>6258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2E-4C6E-8C24-8DAA7668AA4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-25.5</c:v>
                </c:pt>
                <c:pt idx="2">
                  <c:v>-20.5</c:v>
                </c:pt>
                <c:pt idx="3">
                  <c:v>-15</c:v>
                </c:pt>
                <c:pt idx="4">
                  <c:v>0</c:v>
                </c:pt>
                <c:pt idx="5">
                  <c:v>0</c:v>
                </c:pt>
                <c:pt idx="6">
                  <c:v>155</c:v>
                </c:pt>
                <c:pt idx="7">
                  <c:v>169.5</c:v>
                </c:pt>
                <c:pt idx="8">
                  <c:v>326.5</c:v>
                </c:pt>
                <c:pt idx="9">
                  <c:v>331</c:v>
                </c:pt>
                <c:pt idx="10">
                  <c:v>6258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2E-4C6E-8C24-8DAA7668AA4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-25.5</c:v>
                </c:pt>
                <c:pt idx="2">
                  <c:v>-20.5</c:v>
                </c:pt>
                <c:pt idx="3">
                  <c:v>-15</c:v>
                </c:pt>
                <c:pt idx="4">
                  <c:v>0</c:v>
                </c:pt>
                <c:pt idx="5">
                  <c:v>0</c:v>
                </c:pt>
                <c:pt idx="6">
                  <c:v>155</c:v>
                </c:pt>
                <c:pt idx="7">
                  <c:v>169.5</c:v>
                </c:pt>
                <c:pt idx="8">
                  <c:v>326.5</c:v>
                </c:pt>
                <c:pt idx="9">
                  <c:v>331</c:v>
                </c:pt>
                <c:pt idx="10">
                  <c:v>6258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4.8472408605546309E-2</c:v>
                </c:pt>
                <c:pt idx="1">
                  <c:v>4.8732081824616823E-2</c:v>
                </c:pt>
                <c:pt idx="2">
                  <c:v>4.8821624313951484E-2</c:v>
                </c:pt>
                <c:pt idx="3">
                  <c:v>4.8920121052219608E-2</c:v>
                </c:pt>
                <c:pt idx="4">
                  <c:v>4.9188748520223591E-2</c:v>
                </c:pt>
                <c:pt idx="5">
                  <c:v>4.9188748520223591E-2</c:v>
                </c:pt>
                <c:pt idx="6">
                  <c:v>5.1964565689598063E-2</c:v>
                </c:pt>
                <c:pt idx="7">
                  <c:v>5.2224238908668584E-2</c:v>
                </c:pt>
                <c:pt idx="8">
                  <c:v>5.5035873073776921E-2</c:v>
                </c:pt>
                <c:pt idx="9">
                  <c:v>5.511646131417812E-2</c:v>
                </c:pt>
                <c:pt idx="10">
                  <c:v>0.16126012817148472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2E-4C6E-8C24-8DAA7668A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455968"/>
        <c:axId val="1"/>
      </c:scatterChart>
      <c:valAx>
        <c:axId val="852455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455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0123A9-37A4-99D2-4BB9-9C23934E7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5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17" customFormat="1" ht="20.25" x14ac:dyDescent="0.2">
      <c r="A1" s="47" t="s">
        <v>36</v>
      </c>
    </row>
    <row r="2" spans="1:7" s="17" customFormat="1" ht="12.95" customHeight="1" x14ac:dyDescent="0.2">
      <c r="A2" s="17" t="s">
        <v>24</v>
      </c>
      <c r="B2" s="17" t="s">
        <v>39</v>
      </c>
      <c r="C2" s="18"/>
      <c r="D2" s="18"/>
    </row>
    <row r="3" spans="1:7" s="17" customFormat="1" ht="12.95" customHeight="1" thickBot="1" x14ac:dyDescent="0.25"/>
    <row r="4" spans="1:7" s="17" customFormat="1" ht="12.95" customHeight="1" thickTop="1" thickBot="1" x14ac:dyDescent="0.25">
      <c r="A4" s="19" t="s">
        <v>0</v>
      </c>
      <c r="C4" s="20">
        <v>28069.626</v>
      </c>
      <c r="D4" s="21">
        <v>4.1923250000000003</v>
      </c>
    </row>
    <row r="5" spans="1:7" s="17" customFormat="1" ht="12.95" customHeight="1" x14ac:dyDescent="0.2"/>
    <row r="6" spans="1:7" s="17" customFormat="1" ht="12.95" customHeight="1" x14ac:dyDescent="0.2">
      <c r="A6" s="19" t="s">
        <v>1</v>
      </c>
    </row>
    <row r="7" spans="1:7" s="17" customFormat="1" ht="12.95" customHeight="1" x14ac:dyDescent="0.2">
      <c r="A7" s="17" t="s">
        <v>2</v>
      </c>
      <c r="C7" s="17">
        <f>+C4</f>
        <v>28069.626</v>
      </c>
    </row>
    <row r="8" spans="1:7" s="17" customFormat="1" ht="12.95" customHeight="1" x14ac:dyDescent="0.2">
      <c r="A8" s="17" t="s">
        <v>3</v>
      </c>
      <c r="C8" s="17">
        <f>+D4</f>
        <v>4.1923250000000003</v>
      </c>
    </row>
    <row r="9" spans="1:7" s="17" customFormat="1" ht="12.95" customHeight="1" x14ac:dyDescent="0.2">
      <c r="A9" s="22" t="s">
        <v>29</v>
      </c>
      <c r="C9" s="23">
        <v>-9.5</v>
      </c>
      <c r="D9" s="17" t="s">
        <v>30</v>
      </c>
    </row>
    <row r="10" spans="1:7" s="17" customFormat="1" ht="12.95" customHeight="1" thickBot="1" x14ac:dyDescent="0.25">
      <c r="C10" s="24" t="s">
        <v>20</v>
      </c>
      <c r="D10" s="24" t="s">
        <v>21</v>
      </c>
    </row>
    <row r="11" spans="1:7" s="17" customFormat="1" ht="12.95" customHeight="1" x14ac:dyDescent="0.2">
      <c r="A11" s="17" t="s">
        <v>16</v>
      </c>
      <c r="C11" s="25">
        <f ca="1">INTERCEPT(INDIRECT($G$11):G992,INDIRECT($F$11):F992)</f>
        <v>4.9188748520223591E-2</v>
      </c>
      <c r="D11" s="18"/>
      <c r="F11" s="26" t="str">
        <f>"F"&amp;E19</f>
        <v>F21</v>
      </c>
      <c r="G11" s="25" t="str">
        <f>"G"&amp;E19</f>
        <v>G21</v>
      </c>
    </row>
    <row r="12" spans="1:7" s="17" customFormat="1" ht="12.95" customHeight="1" x14ac:dyDescent="0.2">
      <c r="A12" s="17" t="s">
        <v>17</v>
      </c>
      <c r="C12" s="25">
        <f ca="1">SLOPE(INDIRECT($G$11):G992,INDIRECT($F$11):F992)</f>
        <v>1.7908497866932104E-5</v>
      </c>
      <c r="D12" s="18"/>
    </row>
    <row r="13" spans="1:7" s="17" customFormat="1" ht="12.95" customHeight="1" x14ac:dyDescent="0.2">
      <c r="A13" s="17" t="s">
        <v>19</v>
      </c>
      <c r="C13" s="18" t="s">
        <v>14</v>
      </c>
      <c r="D13" s="18"/>
    </row>
    <row r="14" spans="1:7" s="17" customFormat="1" ht="12.95" customHeight="1" x14ac:dyDescent="0.2"/>
    <row r="15" spans="1:7" s="17" customFormat="1" ht="12.95" customHeight="1" x14ac:dyDescent="0.2">
      <c r="A15" s="27" t="s">
        <v>18</v>
      </c>
      <c r="C15" s="28">
        <f ca="1">(C7+C11)+(C8+C12)*INT(MAX(F21:F3533))</f>
        <v>54305.35711012817</v>
      </c>
      <c r="D15" s="29" t="s">
        <v>31</v>
      </c>
      <c r="E15" s="30">
        <f ca="1">TODAY()+15018.5-B9/24</f>
        <v>60374.5</v>
      </c>
    </row>
    <row r="16" spans="1:7" s="17" customFormat="1" ht="12.95" customHeight="1" x14ac:dyDescent="0.2">
      <c r="A16" s="19" t="s">
        <v>4</v>
      </c>
      <c r="C16" s="31">
        <f ca="1">+C8+C12</f>
        <v>4.1923429084978672</v>
      </c>
      <c r="D16" s="29" t="s">
        <v>32</v>
      </c>
      <c r="E16" s="30">
        <f ca="1">ROUND(2*(E15-C15)/C16,0)/2+1</f>
        <v>1448.5</v>
      </c>
    </row>
    <row r="17" spans="1:17" s="17" customFormat="1" ht="12.95" customHeight="1" thickBot="1" x14ac:dyDescent="0.25">
      <c r="A17" s="29" t="s">
        <v>28</v>
      </c>
      <c r="C17" s="17">
        <f>COUNT(C21:C2191)</f>
        <v>11</v>
      </c>
      <c r="D17" s="29" t="s">
        <v>33</v>
      </c>
      <c r="E17" s="32">
        <f ca="1">+C15+C16*E16-15018.5-C9/24</f>
        <v>45359.861646420664</v>
      </c>
    </row>
    <row r="18" spans="1:17" s="17" customFormat="1" ht="12.95" customHeight="1" thickTop="1" thickBot="1" x14ac:dyDescent="0.25">
      <c r="A18" s="19" t="s">
        <v>5</v>
      </c>
      <c r="C18" s="33">
        <f ca="1">+C15</f>
        <v>54305.35711012817</v>
      </c>
      <c r="D18" s="34">
        <f ca="1">+C16</f>
        <v>4.1923429084978672</v>
      </c>
      <c r="E18" s="35" t="s">
        <v>34</v>
      </c>
    </row>
    <row r="19" spans="1:17" s="17" customFormat="1" ht="12.95" customHeight="1" thickTop="1" x14ac:dyDescent="0.2">
      <c r="A19" s="36" t="s">
        <v>35</v>
      </c>
      <c r="E19" s="37">
        <v>21</v>
      </c>
    </row>
    <row r="20" spans="1:17" s="17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13</v>
      </c>
      <c r="E20" s="24" t="s">
        <v>9</v>
      </c>
      <c r="F20" s="24" t="s">
        <v>10</v>
      </c>
      <c r="G20" s="24" t="s">
        <v>11</v>
      </c>
      <c r="H20" s="38" t="s">
        <v>86</v>
      </c>
      <c r="I20" s="38" t="s">
        <v>50</v>
      </c>
      <c r="J20" s="38" t="s">
        <v>44</v>
      </c>
      <c r="K20" s="38" t="s">
        <v>42</v>
      </c>
      <c r="L20" s="38" t="s">
        <v>25</v>
      </c>
      <c r="M20" s="38" t="s">
        <v>26</v>
      </c>
      <c r="N20" s="38" t="s">
        <v>27</v>
      </c>
      <c r="O20" s="38" t="s">
        <v>23</v>
      </c>
      <c r="P20" s="39" t="s">
        <v>22</v>
      </c>
      <c r="Q20" s="24" t="s">
        <v>15</v>
      </c>
    </row>
    <row r="21" spans="1:17" s="17" customFormat="1" ht="12.95" customHeight="1" x14ac:dyDescent="0.2">
      <c r="A21" s="40" t="s">
        <v>56</v>
      </c>
      <c r="B21" s="41" t="s">
        <v>38</v>
      </c>
      <c r="C21" s="42">
        <v>27901.95</v>
      </c>
      <c r="D21" s="43"/>
      <c r="E21" s="17">
        <f t="shared" ref="E21:E31" si="0">+(C21-C$7)/C$8</f>
        <v>-39.99594497086926</v>
      </c>
      <c r="F21" s="17">
        <f t="shared" ref="F21:F31" si="1">ROUND(2*E21,0)/2</f>
        <v>-40</v>
      </c>
      <c r="G21" s="17">
        <f t="shared" ref="G21:G31" si="2">+C21-(C$7+F21*C$8)</f>
        <v>1.6999999999825377E-2</v>
      </c>
      <c r="I21" s="17">
        <f>+G21</f>
        <v>1.6999999999825377E-2</v>
      </c>
      <c r="O21" s="17">
        <f t="shared" ref="O21:O31" ca="1" si="3">+C$11+C$12*$F21</f>
        <v>4.8472408605546309E-2</v>
      </c>
      <c r="Q21" s="44">
        <f t="shared" ref="Q21:Q31" si="4">+C21-15018.5</f>
        <v>12883.45</v>
      </c>
    </row>
    <row r="22" spans="1:17" s="17" customFormat="1" ht="12.95" customHeight="1" x14ac:dyDescent="0.2">
      <c r="A22" s="40" t="s">
        <v>56</v>
      </c>
      <c r="B22" s="41" t="s">
        <v>85</v>
      </c>
      <c r="C22" s="42">
        <v>27962.82</v>
      </c>
      <c r="D22" s="43"/>
      <c r="E22" s="17">
        <f t="shared" si="0"/>
        <v>-25.476555372019224</v>
      </c>
      <c r="F22" s="17">
        <f t="shared" si="1"/>
        <v>-25.5</v>
      </c>
      <c r="G22" s="17">
        <f t="shared" si="2"/>
        <v>9.8287500000878936E-2</v>
      </c>
      <c r="I22" s="17">
        <f>+G22</f>
        <v>9.8287500000878936E-2</v>
      </c>
      <c r="O22" s="17">
        <f t="shared" ca="1" si="3"/>
        <v>4.8732081824616823E-2</v>
      </c>
      <c r="Q22" s="44">
        <f t="shared" si="4"/>
        <v>12944.32</v>
      </c>
    </row>
    <row r="23" spans="1:17" s="17" customFormat="1" ht="12.95" customHeight="1" x14ac:dyDescent="0.2">
      <c r="A23" s="40" t="s">
        <v>56</v>
      </c>
      <c r="B23" s="41" t="s">
        <v>85</v>
      </c>
      <c r="C23" s="42">
        <v>27983.78</v>
      </c>
      <c r="D23" s="43"/>
      <c r="E23" s="17">
        <f t="shared" si="0"/>
        <v>-20.476942985098091</v>
      </c>
      <c r="F23" s="17">
        <f t="shared" si="1"/>
        <v>-20.5</v>
      </c>
      <c r="G23" s="17">
        <f t="shared" si="2"/>
        <v>9.6662500000093132E-2</v>
      </c>
      <c r="I23" s="17">
        <f>+G23</f>
        <v>9.6662500000093132E-2</v>
      </c>
      <c r="O23" s="17">
        <f t="shared" ca="1" si="3"/>
        <v>4.8821624313951484E-2</v>
      </c>
      <c r="Q23" s="44">
        <f t="shared" si="4"/>
        <v>12965.279999999999</v>
      </c>
    </row>
    <row r="24" spans="1:17" s="17" customFormat="1" ht="12.95" customHeight="1" x14ac:dyDescent="0.2">
      <c r="A24" s="40" t="s">
        <v>56</v>
      </c>
      <c r="B24" s="41" t="s">
        <v>38</v>
      </c>
      <c r="C24" s="42">
        <v>28006.77</v>
      </c>
      <c r="D24" s="43"/>
      <c r="E24" s="17">
        <f t="shared" si="0"/>
        <v>-14.993112413756034</v>
      </c>
      <c r="F24" s="17">
        <f t="shared" si="1"/>
        <v>-15</v>
      </c>
      <c r="G24" s="17">
        <f t="shared" si="2"/>
        <v>2.8874999999970896E-2</v>
      </c>
      <c r="I24" s="17">
        <f>+G24</f>
        <v>2.8874999999970896E-2</v>
      </c>
      <c r="O24" s="17">
        <f t="shared" ca="1" si="3"/>
        <v>4.8920121052219608E-2</v>
      </c>
      <c r="Q24" s="44">
        <f t="shared" si="4"/>
        <v>12988.27</v>
      </c>
    </row>
    <row r="25" spans="1:17" s="17" customFormat="1" ht="12.95" customHeight="1" x14ac:dyDescent="0.2">
      <c r="A25" s="17" t="s">
        <v>12</v>
      </c>
      <c r="C25" s="43">
        <v>28069.626</v>
      </c>
      <c r="D25" s="43" t="s">
        <v>14</v>
      </c>
      <c r="E25" s="17">
        <f t="shared" si="0"/>
        <v>0</v>
      </c>
      <c r="F25" s="17">
        <f t="shared" si="1"/>
        <v>0</v>
      </c>
      <c r="G25" s="17">
        <f t="shared" si="2"/>
        <v>0</v>
      </c>
      <c r="H25" s="17">
        <f>+G25</f>
        <v>0</v>
      </c>
      <c r="O25" s="17">
        <f t="shared" ca="1" si="3"/>
        <v>4.9188748520223591E-2</v>
      </c>
      <c r="Q25" s="44">
        <f t="shared" si="4"/>
        <v>13051.126</v>
      </c>
    </row>
    <row r="26" spans="1:17" s="17" customFormat="1" ht="12.95" customHeight="1" x14ac:dyDescent="0.2">
      <c r="A26" s="40" t="s">
        <v>56</v>
      </c>
      <c r="B26" s="41" t="s">
        <v>38</v>
      </c>
      <c r="C26" s="42">
        <v>28069.64</v>
      </c>
      <c r="D26" s="43"/>
      <c r="E26" s="17">
        <f t="shared" si="0"/>
        <v>3.3394357544355925E-3</v>
      </c>
      <c r="F26" s="17">
        <f t="shared" si="1"/>
        <v>0</v>
      </c>
      <c r="G26" s="17">
        <f t="shared" si="2"/>
        <v>1.3999999999214197E-2</v>
      </c>
      <c r="I26" s="17">
        <f>+G26</f>
        <v>1.3999999999214197E-2</v>
      </c>
      <c r="O26" s="17">
        <f t="shared" ca="1" si="3"/>
        <v>4.9188748520223591E-2</v>
      </c>
      <c r="Q26" s="44">
        <f t="shared" si="4"/>
        <v>13051.14</v>
      </c>
    </row>
    <row r="27" spans="1:17" s="17" customFormat="1" ht="12.95" customHeight="1" x14ac:dyDescent="0.2">
      <c r="A27" s="40" t="s">
        <v>56</v>
      </c>
      <c r="B27" s="41" t="s">
        <v>38</v>
      </c>
      <c r="C27" s="42">
        <v>28719.48</v>
      </c>
      <c r="D27" s="43"/>
      <c r="E27" s="17">
        <f t="shared" si="0"/>
        <v>155.01040592034238</v>
      </c>
      <c r="F27" s="17">
        <f t="shared" si="1"/>
        <v>155</v>
      </c>
      <c r="G27" s="17">
        <f t="shared" si="2"/>
        <v>4.3624999998428393E-2</v>
      </c>
      <c r="I27" s="17">
        <f>+G27</f>
        <v>4.3624999998428393E-2</v>
      </c>
      <c r="O27" s="17">
        <f t="shared" ca="1" si="3"/>
        <v>5.1964565689598063E-2</v>
      </c>
      <c r="Q27" s="44">
        <f t="shared" si="4"/>
        <v>13700.98</v>
      </c>
    </row>
    <row r="28" spans="1:17" s="17" customFormat="1" ht="12.95" customHeight="1" x14ac:dyDescent="0.2">
      <c r="A28" s="40" t="s">
        <v>56</v>
      </c>
      <c r="B28" s="41" t="s">
        <v>85</v>
      </c>
      <c r="C28" s="42">
        <v>28780.36</v>
      </c>
      <c r="D28" s="43"/>
      <c r="E28" s="17">
        <f t="shared" si="0"/>
        <v>169.53218083044618</v>
      </c>
      <c r="F28" s="17">
        <f t="shared" si="1"/>
        <v>169.5</v>
      </c>
      <c r="G28" s="17">
        <f t="shared" si="2"/>
        <v>0.13491250000151922</v>
      </c>
      <c r="I28" s="17">
        <f>+G28</f>
        <v>0.13491250000151922</v>
      </c>
      <c r="O28" s="17">
        <f t="shared" ca="1" si="3"/>
        <v>5.2224238908668584E-2</v>
      </c>
      <c r="Q28" s="44">
        <f t="shared" si="4"/>
        <v>13761.86</v>
      </c>
    </row>
    <row r="29" spans="1:17" s="17" customFormat="1" ht="12.95" customHeight="1" x14ac:dyDescent="0.2">
      <c r="A29" s="40" t="s">
        <v>56</v>
      </c>
      <c r="B29" s="41" t="s">
        <v>85</v>
      </c>
      <c r="C29" s="42">
        <v>29438.5</v>
      </c>
      <c r="D29" s="43"/>
      <c r="E29" s="17">
        <f t="shared" si="0"/>
        <v>326.51905565527477</v>
      </c>
      <c r="F29" s="17">
        <f t="shared" si="1"/>
        <v>326.5</v>
      </c>
      <c r="G29" s="17">
        <f t="shared" si="2"/>
        <v>7.9887500000040745E-2</v>
      </c>
      <c r="I29" s="17">
        <f>+G29</f>
        <v>7.9887500000040745E-2</v>
      </c>
      <c r="O29" s="17">
        <f t="shared" ca="1" si="3"/>
        <v>5.5035873073776921E-2</v>
      </c>
      <c r="Q29" s="44">
        <f t="shared" si="4"/>
        <v>14420</v>
      </c>
    </row>
    <row r="30" spans="1:17" s="17" customFormat="1" ht="12.95" customHeight="1" x14ac:dyDescent="0.2">
      <c r="A30" s="40" t="s">
        <v>56</v>
      </c>
      <c r="B30" s="41" t="s">
        <v>38</v>
      </c>
      <c r="C30" s="42">
        <v>29457.279999999999</v>
      </c>
      <c r="D30" s="43"/>
      <c r="E30" s="17">
        <f t="shared" si="0"/>
        <v>330.99867018897595</v>
      </c>
      <c r="F30" s="17">
        <f t="shared" si="1"/>
        <v>331</v>
      </c>
      <c r="G30" s="17">
        <f t="shared" si="2"/>
        <v>-5.5750000028638169E-3</v>
      </c>
      <c r="I30" s="17">
        <f>+G30</f>
        <v>-5.5750000028638169E-3</v>
      </c>
      <c r="O30" s="17">
        <f t="shared" ca="1" si="3"/>
        <v>5.511646131417812E-2</v>
      </c>
      <c r="Q30" s="44">
        <f t="shared" si="4"/>
        <v>14438.779999999999</v>
      </c>
    </row>
    <row r="31" spans="1:17" s="17" customFormat="1" ht="12.95" customHeight="1" x14ac:dyDescent="0.2">
      <c r="A31" s="45" t="s">
        <v>37</v>
      </c>
      <c r="B31" s="46" t="s">
        <v>38</v>
      </c>
      <c r="C31" s="45">
        <v>54305.357100000001</v>
      </c>
      <c r="D31" s="45">
        <v>2.0000000000000001E-4</v>
      </c>
      <c r="E31" s="17">
        <f t="shared" si="0"/>
        <v>6258.0384631439592</v>
      </c>
      <c r="F31" s="17">
        <f t="shared" si="1"/>
        <v>6258</v>
      </c>
      <c r="G31" s="17">
        <f t="shared" si="2"/>
        <v>0.16124999999738066</v>
      </c>
      <c r="K31" s="17">
        <f>+G31</f>
        <v>0.16124999999738066</v>
      </c>
      <c r="O31" s="17">
        <f t="shared" ca="1" si="3"/>
        <v>0.16126012817148472</v>
      </c>
      <c r="Q31" s="44">
        <f t="shared" si="4"/>
        <v>39286.857100000001</v>
      </c>
    </row>
    <row r="32" spans="1:17" s="17" customFormat="1" ht="12.95" customHeight="1" x14ac:dyDescent="0.2">
      <c r="B32" s="18"/>
      <c r="C32" s="43"/>
      <c r="D32" s="43"/>
      <c r="Q32" s="44"/>
    </row>
    <row r="33" spans="3:17" s="17" customFormat="1" ht="12.95" customHeight="1" x14ac:dyDescent="0.2">
      <c r="C33" s="43"/>
      <c r="D33" s="43"/>
      <c r="Q33" s="44"/>
    </row>
    <row r="34" spans="3:17" s="17" customFormat="1" ht="12.95" customHeight="1" x14ac:dyDescent="0.2">
      <c r="C34" s="43"/>
      <c r="D34" s="43"/>
    </row>
    <row r="35" spans="3:17" s="17" customFormat="1" ht="12.95" customHeight="1" x14ac:dyDescent="0.2">
      <c r="C35" s="43"/>
      <c r="D35" s="43"/>
    </row>
    <row r="36" spans="3:17" s="17" customFormat="1" ht="12.95" customHeight="1" x14ac:dyDescent="0.2">
      <c r="C36" s="43"/>
      <c r="D36" s="43"/>
    </row>
    <row r="37" spans="3:17" s="17" customFormat="1" ht="12.95" customHeight="1" x14ac:dyDescent="0.2">
      <c r="C37" s="43"/>
      <c r="D37" s="43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1"/>
  <sheetViews>
    <sheetView workbookViewId="0">
      <selection activeCell="A12" sqref="A12:C20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4" t="s">
        <v>40</v>
      </c>
      <c r="I1" s="5" t="s">
        <v>41</v>
      </c>
      <c r="J1" s="6" t="s">
        <v>42</v>
      </c>
    </row>
    <row r="2" spans="1:16" x14ac:dyDescent="0.2">
      <c r="I2" s="7" t="s">
        <v>43</v>
      </c>
      <c r="J2" s="8" t="s">
        <v>44</v>
      </c>
    </row>
    <row r="3" spans="1:16" x14ac:dyDescent="0.2">
      <c r="A3" s="9" t="s">
        <v>45</v>
      </c>
      <c r="I3" s="7" t="s">
        <v>46</v>
      </c>
      <c r="J3" s="8" t="s">
        <v>47</v>
      </c>
    </row>
    <row r="4" spans="1:16" x14ac:dyDescent="0.2">
      <c r="I4" s="7" t="s">
        <v>48</v>
      </c>
      <c r="J4" s="8" t="s">
        <v>47</v>
      </c>
    </row>
    <row r="5" spans="1:16" ht="13.5" thickBot="1" x14ac:dyDescent="0.25">
      <c r="I5" s="10" t="s">
        <v>49</v>
      </c>
      <c r="J5" s="11" t="s">
        <v>50</v>
      </c>
    </row>
    <row r="10" spans="1:16" ht="13.5" thickBot="1" x14ac:dyDescent="0.25"/>
    <row r="11" spans="1:16" ht="12.75" customHeight="1" thickBot="1" x14ac:dyDescent="0.25">
      <c r="A11" s="2" t="str">
        <f t="shared" ref="A11:A20" si="0">P11</f>
        <v>IBVS 5897 </v>
      </c>
      <c r="B11" s="1" t="str">
        <f t="shared" ref="B11:B20" si="1">IF(H11=INT(H11),"I","II")</f>
        <v>I</v>
      </c>
      <c r="C11" s="2">
        <f t="shared" ref="C11:C20" si="2">1*G11</f>
        <v>54305.357100000001</v>
      </c>
      <c r="D11" s="3" t="str">
        <f t="shared" ref="D11:D20" si="3">VLOOKUP(F11,I$1:J$5,2,FALSE)</f>
        <v>vis</v>
      </c>
      <c r="E11" s="12">
        <f>VLOOKUP(C11,Active!C$21:E$973,3,FALSE)</f>
        <v>6258.0384631439592</v>
      </c>
      <c r="F11" s="1" t="s">
        <v>49</v>
      </c>
      <c r="G11" s="3" t="str">
        <f t="shared" ref="G11:G20" si="4">MID(I11,3,LEN(I11)-3)</f>
        <v>54305.3571</v>
      </c>
      <c r="H11" s="2">
        <f t="shared" ref="H11:H20" si="5">1*K11</f>
        <v>6258</v>
      </c>
      <c r="I11" s="13" t="s">
        <v>78</v>
      </c>
      <c r="J11" s="14" t="s">
        <v>79</v>
      </c>
      <c r="K11" s="13">
        <v>6258</v>
      </c>
      <c r="L11" s="13" t="s">
        <v>80</v>
      </c>
      <c r="M11" s="14" t="s">
        <v>81</v>
      </c>
      <c r="N11" s="14" t="s">
        <v>82</v>
      </c>
      <c r="O11" s="15" t="s">
        <v>83</v>
      </c>
      <c r="P11" s="16" t="s">
        <v>84</v>
      </c>
    </row>
    <row r="12" spans="1:16" ht="12.75" customHeight="1" thickBot="1" x14ac:dyDescent="0.25">
      <c r="A12" s="2" t="str">
        <f t="shared" si="0"/>
        <v> BAN 9.389 </v>
      </c>
      <c r="B12" s="1" t="str">
        <f t="shared" si="1"/>
        <v>I</v>
      </c>
      <c r="C12" s="2">
        <f t="shared" si="2"/>
        <v>27901.95</v>
      </c>
      <c r="D12" s="3" t="str">
        <f t="shared" si="3"/>
        <v>vis</v>
      </c>
      <c r="E12" s="12">
        <f>VLOOKUP(C12,Active!C$21:E$973,3,FALSE)</f>
        <v>-39.99594497086926</v>
      </c>
      <c r="F12" s="1" t="s">
        <v>49</v>
      </c>
      <c r="G12" s="3" t="str">
        <f t="shared" si="4"/>
        <v>27901.95</v>
      </c>
      <c r="H12" s="2">
        <f t="shared" si="5"/>
        <v>-40</v>
      </c>
      <c r="I12" s="13" t="s">
        <v>51</v>
      </c>
      <c r="J12" s="14" t="s">
        <v>52</v>
      </c>
      <c r="K12" s="13">
        <v>-40</v>
      </c>
      <c r="L12" s="13" t="s">
        <v>53</v>
      </c>
      <c r="M12" s="14" t="s">
        <v>54</v>
      </c>
      <c r="N12" s="14"/>
      <c r="O12" s="15" t="s">
        <v>55</v>
      </c>
      <c r="P12" s="15" t="s">
        <v>56</v>
      </c>
    </row>
    <row r="13" spans="1:16" ht="12.75" customHeight="1" thickBot="1" x14ac:dyDescent="0.25">
      <c r="A13" s="2" t="str">
        <f t="shared" si="0"/>
        <v> BAN 9.389 </v>
      </c>
      <c r="B13" s="1" t="str">
        <f t="shared" si="1"/>
        <v>II</v>
      </c>
      <c r="C13" s="2">
        <f t="shared" si="2"/>
        <v>27962.82</v>
      </c>
      <c r="D13" s="3" t="str">
        <f t="shared" si="3"/>
        <v>vis</v>
      </c>
      <c r="E13" s="12">
        <f>VLOOKUP(C13,Active!C$21:E$973,3,FALSE)</f>
        <v>-25.476555372019224</v>
      </c>
      <c r="F13" s="1" t="s">
        <v>49</v>
      </c>
      <c r="G13" s="3" t="str">
        <f t="shared" si="4"/>
        <v>27962.82</v>
      </c>
      <c r="H13" s="2">
        <f t="shared" si="5"/>
        <v>-25.5</v>
      </c>
      <c r="I13" s="13" t="s">
        <v>57</v>
      </c>
      <c r="J13" s="14" t="s">
        <v>58</v>
      </c>
      <c r="K13" s="13">
        <v>-25.5</v>
      </c>
      <c r="L13" s="13" t="s">
        <v>59</v>
      </c>
      <c r="M13" s="14" t="s">
        <v>54</v>
      </c>
      <c r="N13" s="14"/>
      <c r="O13" s="15" t="s">
        <v>55</v>
      </c>
      <c r="P13" s="15" t="s">
        <v>56</v>
      </c>
    </row>
    <row r="14" spans="1:16" ht="12.75" customHeight="1" thickBot="1" x14ac:dyDescent="0.25">
      <c r="A14" s="2" t="str">
        <f t="shared" si="0"/>
        <v> BAN 9.389 </v>
      </c>
      <c r="B14" s="1" t="str">
        <f t="shared" si="1"/>
        <v>II</v>
      </c>
      <c r="C14" s="2">
        <f t="shared" si="2"/>
        <v>27983.78</v>
      </c>
      <c r="D14" s="3" t="str">
        <f t="shared" si="3"/>
        <v>vis</v>
      </c>
      <c r="E14" s="12">
        <f>VLOOKUP(C14,Active!C$21:E$973,3,FALSE)</f>
        <v>-20.476942985098091</v>
      </c>
      <c r="F14" s="1" t="s">
        <v>49</v>
      </c>
      <c r="G14" s="3" t="str">
        <f t="shared" si="4"/>
        <v>27983.78</v>
      </c>
      <c r="H14" s="2">
        <f t="shared" si="5"/>
        <v>-20.5</v>
      </c>
      <c r="I14" s="13" t="s">
        <v>60</v>
      </c>
      <c r="J14" s="14" t="s">
        <v>61</v>
      </c>
      <c r="K14" s="13">
        <v>-20.5</v>
      </c>
      <c r="L14" s="13" t="s">
        <v>59</v>
      </c>
      <c r="M14" s="14" t="s">
        <v>54</v>
      </c>
      <c r="N14" s="14"/>
      <c r="O14" s="15" t="s">
        <v>55</v>
      </c>
      <c r="P14" s="15" t="s">
        <v>56</v>
      </c>
    </row>
    <row r="15" spans="1:16" ht="12.75" customHeight="1" thickBot="1" x14ac:dyDescent="0.25">
      <c r="A15" s="2" t="str">
        <f t="shared" si="0"/>
        <v> BAN 9.389 </v>
      </c>
      <c r="B15" s="1" t="str">
        <f t="shared" si="1"/>
        <v>I</v>
      </c>
      <c r="C15" s="2">
        <f t="shared" si="2"/>
        <v>28006.77</v>
      </c>
      <c r="D15" s="3" t="str">
        <f t="shared" si="3"/>
        <v>vis</v>
      </c>
      <c r="E15" s="12">
        <f>VLOOKUP(C15,Active!C$21:E$973,3,FALSE)</f>
        <v>-14.993112413756034</v>
      </c>
      <c r="F15" s="1" t="s">
        <v>49</v>
      </c>
      <c r="G15" s="3" t="str">
        <f t="shared" si="4"/>
        <v>28006.77</v>
      </c>
      <c r="H15" s="2">
        <f t="shared" si="5"/>
        <v>-15</v>
      </c>
      <c r="I15" s="13" t="s">
        <v>62</v>
      </c>
      <c r="J15" s="14" t="s">
        <v>63</v>
      </c>
      <c r="K15" s="13">
        <v>-15</v>
      </c>
      <c r="L15" s="13" t="s">
        <v>59</v>
      </c>
      <c r="M15" s="14" t="s">
        <v>54</v>
      </c>
      <c r="N15" s="14"/>
      <c r="O15" s="15" t="s">
        <v>55</v>
      </c>
      <c r="P15" s="15" t="s">
        <v>56</v>
      </c>
    </row>
    <row r="16" spans="1:16" ht="12.75" customHeight="1" thickBot="1" x14ac:dyDescent="0.25">
      <c r="A16" s="2" t="str">
        <f t="shared" si="0"/>
        <v> BAN 9.389 </v>
      </c>
      <c r="B16" s="1" t="str">
        <f t="shared" si="1"/>
        <v>I</v>
      </c>
      <c r="C16" s="2">
        <f t="shared" si="2"/>
        <v>28069.64</v>
      </c>
      <c r="D16" s="3" t="str">
        <f t="shared" si="3"/>
        <v>vis</v>
      </c>
      <c r="E16" s="12">
        <f>VLOOKUP(C16,Active!C$21:E$973,3,FALSE)</f>
        <v>3.3394357544355925E-3</v>
      </c>
      <c r="F16" s="1" t="s">
        <v>49</v>
      </c>
      <c r="G16" s="3" t="str">
        <f t="shared" si="4"/>
        <v>28069.64</v>
      </c>
      <c r="H16" s="2">
        <f t="shared" si="5"/>
        <v>0</v>
      </c>
      <c r="I16" s="13" t="s">
        <v>64</v>
      </c>
      <c r="J16" s="14" t="s">
        <v>65</v>
      </c>
      <c r="K16" s="13">
        <v>0</v>
      </c>
      <c r="L16" s="13" t="s">
        <v>66</v>
      </c>
      <c r="M16" s="14" t="s">
        <v>54</v>
      </c>
      <c r="N16" s="14"/>
      <c r="O16" s="15" t="s">
        <v>55</v>
      </c>
      <c r="P16" s="15" t="s">
        <v>56</v>
      </c>
    </row>
    <row r="17" spans="1:16" ht="12.75" customHeight="1" thickBot="1" x14ac:dyDescent="0.25">
      <c r="A17" s="2" t="str">
        <f t="shared" si="0"/>
        <v> BAN 9.389 </v>
      </c>
      <c r="B17" s="1" t="str">
        <f t="shared" si="1"/>
        <v>I</v>
      </c>
      <c r="C17" s="2">
        <f t="shared" si="2"/>
        <v>28719.48</v>
      </c>
      <c r="D17" s="3" t="str">
        <f t="shared" si="3"/>
        <v>vis</v>
      </c>
      <c r="E17" s="12">
        <f>VLOOKUP(C17,Active!C$21:E$973,3,FALSE)</f>
        <v>155.01040592034238</v>
      </c>
      <c r="F17" s="1" t="s">
        <v>49</v>
      </c>
      <c r="G17" s="3" t="str">
        <f t="shared" si="4"/>
        <v>28719.48</v>
      </c>
      <c r="H17" s="2">
        <f t="shared" si="5"/>
        <v>155</v>
      </c>
      <c r="I17" s="13" t="s">
        <v>67</v>
      </c>
      <c r="J17" s="14" t="s">
        <v>68</v>
      </c>
      <c r="K17" s="13">
        <v>155</v>
      </c>
      <c r="L17" s="13" t="s">
        <v>69</v>
      </c>
      <c r="M17" s="14" t="s">
        <v>54</v>
      </c>
      <c r="N17" s="14"/>
      <c r="O17" s="15" t="s">
        <v>55</v>
      </c>
      <c r="P17" s="15" t="s">
        <v>56</v>
      </c>
    </row>
    <row r="18" spans="1:16" ht="12.75" customHeight="1" thickBot="1" x14ac:dyDescent="0.25">
      <c r="A18" s="2" t="str">
        <f t="shared" si="0"/>
        <v> BAN 9.389 </v>
      </c>
      <c r="B18" s="1" t="str">
        <f t="shared" si="1"/>
        <v>II</v>
      </c>
      <c r="C18" s="2">
        <f t="shared" si="2"/>
        <v>28780.36</v>
      </c>
      <c r="D18" s="3" t="str">
        <f t="shared" si="3"/>
        <v>vis</v>
      </c>
      <c r="E18" s="12">
        <f>VLOOKUP(C18,Active!C$21:E$973,3,FALSE)</f>
        <v>169.53218083044618</v>
      </c>
      <c r="F18" s="1" t="s">
        <v>49</v>
      </c>
      <c r="G18" s="3" t="str">
        <f t="shared" si="4"/>
        <v>28780.36</v>
      </c>
      <c r="H18" s="2">
        <f t="shared" si="5"/>
        <v>169.5</v>
      </c>
      <c r="I18" s="13" t="s">
        <v>70</v>
      </c>
      <c r="J18" s="14" t="s">
        <v>71</v>
      </c>
      <c r="K18" s="13">
        <v>169.5</v>
      </c>
      <c r="L18" s="13" t="s">
        <v>72</v>
      </c>
      <c r="M18" s="14" t="s">
        <v>54</v>
      </c>
      <c r="N18" s="14"/>
      <c r="O18" s="15" t="s">
        <v>55</v>
      </c>
      <c r="P18" s="15" t="s">
        <v>56</v>
      </c>
    </row>
    <row r="19" spans="1:16" ht="12.75" customHeight="1" thickBot="1" x14ac:dyDescent="0.25">
      <c r="A19" s="2" t="str">
        <f t="shared" si="0"/>
        <v> BAN 9.389 </v>
      </c>
      <c r="B19" s="1" t="str">
        <f t="shared" si="1"/>
        <v>II</v>
      </c>
      <c r="C19" s="2">
        <f t="shared" si="2"/>
        <v>29438.5</v>
      </c>
      <c r="D19" s="3" t="str">
        <f t="shared" si="3"/>
        <v>vis</v>
      </c>
      <c r="E19" s="12">
        <f>VLOOKUP(C19,Active!C$21:E$973,3,FALSE)</f>
        <v>326.51905565527477</v>
      </c>
      <c r="F19" s="1" t="s">
        <v>49</v>
      </c>
      <c r="G19" s="3" t="str">
        <f t="shared" si="4"/>
        <v>29438.50</v>
      </c>
      <c r="H19" s="2">
        <f t="shared" si="5"/>
        <v>326.5</v>
      </c>
      <c r="I19" s="13" t="s">
        <v>73</v>
      </c>
      <c r="J19" s="14" t="s">
        <v>74</v>
      </c>
      <c r="K19" s="13">
        <v>326.5</v>
      </c>
      <c r="L19" s="13" t="s">
        <v>53</v>
      </c>
      <c r="M19" s="14" t="s">
        <v>54</v>
      </c>
      <c r="N19" s="14"/>
      <c r="O19" s="15" t="s">
        <v>55</v>
      </c>
      <c r="P19" s="15" t="s">
        <v>56</v>
      </c>
    </row>
    <row r="20" spans="1:16" ht="12.75" customHeight="1" thickBot="1" x14ac:dyDescent="0.25">
      <c r="A20" s="2" t="str">
        <f t="shared" si="0"/>
        <v> BAN 9.389 </v>
      </c>
      <c r="B20" s="1" t="str">
        <f t="shared" si="1"/>
        <v>I</v>
      </c>
      <c r="C20" s="2">
        <f t="shared" si="2"/>
        <v>29457.279999999999</v>
      </c>
      <c r="D20" s="3" t="str">
        <f t="shared" si="3"/>
        <v>vis</v>
      </c>
      <c r="E20" s="12">
        <f>VLOOKUP(C20,Active!C$21:E$973,3,FALSE)</f>
        <v>330.99867018897595</v>
      </c>
      <c r="F20" s="1" t="s">
        <v>49</v>
      </c>
      <c r="G20" s="3" t="str">
        <f t="shared" si="4"/>
        <v>29457.28</v>
      </c>
      <c r="H20" s="2">
        <f t="shared" si="5"/>
        <v>331</v>
      </c>
      <c r="I20" s="13" t="s">
        <v>75</v>
      </c>
      <c r="J20" s="14" t="s">
        <v>76</v>
      </c>
      <c r="K20" s="13">
        <v>331</v>
      </c>
      <c r="L20" s="13" t="s">
        <v>77</v>
      </c>
      <c r="M20" s="14" t="s">
        <v>54</v>
      </c>
      <c r="N20" s="14"/>
      <c r="O20" s="15" t="s">
        <v>55</v>
      </c>
      <c r="P20" s="15" t="s">
        <v>56</v>
      </c>
    </row>
    <row r="21" spans="1:16" x14ac:dyDescent="0.2">
      <c r="B21" s="1"/>
      <c r="E21" s="12"/>
      <c r="F21" s="1"/>
    </row>
    <row r="22" spans="1:16" x14ac:dyDescent="0.2">
      <c r="B22" s="1"/>
      <c r="E22" s="12"/>
      <c r="F22" s="1"/>
    </row>
    <row r="23" spans="1:16" x14ac:dyDescent="0.2">
      <c r="B23" s="1"/>
      <c r="E23" s="12"/>
      <c r="F23" s="1"/>
    </row>
    <row r="24" spans="1:16" x14ac:dyDescent="0.2">
      <c r="B24" s="1"/>
      <c r="E24" s="12"/>
      <c r="F24" s="1"/>
    </row>
    <row r="25" spans="1:16" x14ac:dyDescent="0.2">
      <c r="B25" s="1"/>
      <c r="E25" s="12"/>
      <c r="F25" s="1"/>
    </row>
    <row r="26" spans="1:16" x14ac:dyDescent="0.2">
      <c r="B26" s="1"/>
      <c r="E26" s="12"/>
      <c r="F26" s="1"/>
    </row>
    <row r="27" spans="1:16" x14ac:dyDescent="0.2">
      <c r="B27" s="1"/>
      <c r="E27" s="12"/>
      <c r="F27" s="1"/>
    </row>
    <row r="28" spans="1:16" x14ac:dyDescent="0.2">
      <c r="B28" s="1"/>
      <c r="E28" s="12"/>
      <c r="F28" s="1"/>
    </row>
    <row r="29" spans="1:16" x14ac:dyDescent="0.2">
      <c r="B29" s="1"/>
      <c r="E29" s="12"/>
      <c r="F29" s="1"/>
    </row>
    <row r="30" spans="1:16" x14ac:dyDescent="0.2">
      <c r="B30" s="1"/>
      <c r="E30" s="12"/>
      <c r="F30" s="1"/>
    </row>
    <row r="31" spans="1:16" x14ac:dyDescent="0.2">
      <c r="B31" s="1"/>
      <c r="E31" s="12"/>
      <c r="F31" s="1"/>
    </row>
    <row r="32" spans="1:16" x14ac:dyDescent="0.2">
      <c r="B32" s="1"/>
      <c r="E32" s="12"/>
      <c r="F32" s="1"/>
    </row>
    <row r="33" spans="2:6" x14ac:dyDescent="0.2">
      <c r="B33" s="1"/>
      <c r="E33" s="12"/>
      <c r="F33" s="1"/>
    </row>
    <row r="34" spans="2:6" x14ac:dyDescent="0.2">
      <c r="B34" s="1"/>
      <c r="F34" s="1"/>
    </row>
    <row r="35" spans="2:6" x14ac:dyDescent="0.2">
      <c r="B35" s="1"/>
      <c r="F35" s="1"/>
    </row>
    <row r="36" spans="2:6" x14ac:dyDescent="0.2">
      <c r="B36" s="1"/>
      <c r="F36" s="1"/>
    </row>
    <row r="37" spans="2:6" x14ac:dyDescent="0.2">
      <c r="B37" s="1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</sheetData>
  <phoneticPr fontId="7" type="noConversion"/>
  <hyperlinks>
    <hyperlink ref="P11" r:id="rId1" display="http://www.konkoly.hu/cgi-bin/IBVS?5897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2024-03-05T05:36:19Z</dcterms:modified>
</cp:coreProperties>
</file>