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00F4B8D-0E05-43C4-A41D-4D182B8A9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C7" i="1"/>
  <c r="C8" i="1"/>
  <c r="C9" i="1"/>
  <c r="D9" i="1"/>
  <c r="F16" i="1"/>
  <c r="C21" i="1"/>
  <c r="C17" i="1"/>
  <c r="E21" i="1"/>
  <c r="F21" i="1"/>
  <c r="E22" i="1"/>
  <c r="F22" i="1"/>
  <c r="G22" i="1"/>
  <c r="I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I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A11" i="2"/>
  <c r="B11" i="2"/>
  <c r="D11" i="2"/>
  <c r="G11" i="2"/>
  <c r="C11" i="2"/>
  <c r="E11" i="2"/>
  <c r="H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Q21" i="1"/>
  <c r="C12" i="1"/>
  <c r="C11" i="1"/>
  <c r="O32" i="1" l="1"/>
  <c r="O28" i="1"/>
  <c r="O23" i="1"/>
  <c r="O30" i="1"/>
  <c r="C15" i="1"/>
  <c r="O29" i="1"/>
  <c r="O22" i="1"/>
  <c r="O27" i="1"/>
  <c r="O26" i="1"/>
  <c r="O31" i="1"/>
  <c r="O24" i="1"/>
  <c r="O2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<sst xmlns="http://schemas.openxmlformats.org/spreadsheetml/2006/main" count="121" uniqueCount="87">
  <si>
    <t>ER Sct / GSC 05692-00915</t>
  </si>
  <si>
    <t>System Type:</t>
  </si>
  <si>
    <t>EA/KE: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</si>
  <si>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</si>
  <si>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</si>
  <si>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</si>
  <si>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</si>
  <si>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</si>
  <si>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</si>
  <si>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</si>
  <si>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</si>
  <si>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</si>
  <si>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</si>
  <si>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</si>
  <si>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</si>
  <si>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</si>
  <si>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</si>
  <si>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</si>
  <si>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</si>
  <si>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</si>
  <si>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</si>
  <si>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</si>
  <si>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</si>
  <si>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</si>
  <si>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</si>
  <si>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</si>
  <si>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</si>
  <si>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</si>
  <si>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</si>
  <si>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</si>
  <si>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</si>
  <si>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</si>
  <si>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</si>
  <si>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</si>
  <si>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</si>
  <si>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</si>
  <si>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</si>
  <si>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</si>
  <si>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</si>
  <si>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</si>
  <si>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</si>
  <si>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</si>
  <si>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GCVS 4</t>
  </si>
  <si>
    <t> BSAO 11.20 </t>
  </si>
  <si>
    <t>I</t>
  </si>
  <si>
    <t>IBVS 5595</t>
  </si>
  <si>
    <t>IBVS 5745</t>
  </si>
  <si>
    <t>II</t>
  </si>
  <si>
    <t>VSB 45 </t>
  </si>
  <si>
    <t>VSB 060</t>
  </si>
  <si>
    <t>Ic</t>
  </si>
  <si>
    <t>OEJV 0191</t>
  </si>
  <si>
    <t>VSB 069</t>
  </si>
  <si>
    <t>B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</si>
  <si>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</si>
  <si>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</si>
  <si>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</si>
  <si>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</si>
  <si>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</si>
  <si>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</si>
  <si>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</si>
  <si>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2427335.483 </t>
  </si>
  <si>
    <t> 19.09.1933 23:35 </t>
  </si>
  <si>
    <t> 0.000 </t>
  </si>
  <si>
    <t>F </t>
  </si>
  <si>
    <t> D.J.K.O'Connell </t>
  </si>
  <si>
    <t> PRIR 2.66 </t>
  </si>
  <si>
    <t>2453203.6610 </t>
  </si>
  <si>
    <t> 17.07.2004 03:51 </t>
  </si>
  <si>
    <t> 0.2328 </t>
  </si>
  <si>
    <t>E </t>
  </si>
  <si>
    <t>?</t>
  </si>
  <si>
    <t> Caton &amp; Smith </t>
  </si>
  <si>
    <t>IBVS 5595 </t>
  </si>
  <si>
    <t>2453224.7529 </t>
  </si>
  <si>
    <t> 07.08.2004 06:04 </t>
  </si>
  <si>
    <t> 0.2285 </t>
  </si>
  <si>
    <t> Smith &amp; Caton </t>
  </si>
  <si>
    <t>IBVS 5745 </t>
  </si>
  <si>
    <t>2432303.283 </t>
  </si>
  <si>
    <t> 27.04.1947 18:47 </t>
  </si>
  <si>
    <t> O.Wassiljanowskaja </t>
  </si>
  <si>
    <t>2454006.011 </t>
  </si>
  <si>
    <t> 27.09.2006 12:15 </t>
  </si>
  <si>
    <t> 0.249 </t>
  </si>
  <si>
    <t> K. Nagai et al. 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</si>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</sst>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" fillId="0" borderId="0"/>
    <xf numFmtId="0" fontId="13" fillId="0" borderId="0"/>
  </cellStyleXfs>
  <cellXfs count="54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0" fontId="7" fillId="0" borderId="0" xfId="7" applyFont="1" applyAlignment="1">
      <alignment horizontal="left"/>
    </xf>
    <xf numFmtId="0" fontId="7" fillId="0" borderId="0" xfId="7" applyFont="1" applyAlignment="1">
      <alignment horizontal="center"/>
    </xf>
    <xf numFmtId="0" fontId="10" fillId="0" borderId="0" xfId="7" applyFont="1" applyAlignment="1">
      <alignment horizontal="left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2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2" fillId="2" borderId="10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ER Sct - O-C Diagr.</a:t>
            </a:r>
          </a:p>
        </c:rich>
      </c:tx>
      <c:layout>
        <c:manualLayout>
          <c:xMode val="edge"/>
          <c:yMode val="edge"/>
          <c:x val="0.3747984006038017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6441301057075"/>
          <c:y val="0.14270833333333333"/>
          <c:w val="0.81314015069602563"/>
          <c:h val="0.632291666666666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Active!$H$21:$H$31</c:f>
              <c:numCache>
                <c:formatCode>General</c:formatCode>
                <c:ptCount val="1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4A-4620-BC3C-47F2A482B8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Active!$I$21:$I$31</c:f>
              <c:numCache>
                <c:formatCode>General</c:formatCode>
                <c:ptCount val="11"/>
                <c:pt idx="1">
                  <c:v>3.4999999843421392E-4</c:v>
                </c:pt>
                <c:pt idx="4">
                  <c:v>0.24908449999929871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4A-4620-BC3C-47F2A482B83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Active!$J$21:$J$31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4A-4620-BC3C-47F2A482B83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  <c:pt idx="11">
                  <c:v>23570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2">
                  <c:v>0.23275400000420632</c:v>
                </c:pt>
                <c:pt idx="3">
                  <c:v>0.2285185000000638</c:v>
                </c:pt>
                <c:pt idx="5">
                  <c:v>0.25398600000335136</c:v>
                </c:pt>
                <c:pt idx="6">
                  <c:v>0.28729649999877438</c:v>
                </c:pt>
                <c:pt idx="7">
                  <c:v>0.28310600000259001</c:v>
                </c:pt>
                <c:pt idx="8">
                  <c:v>0.32105299999966519</c:v>
                </c:pt>
                <c:pt idx="9">
                  <c:v>0.32105299999966519</c:v>
                </c:pt>
                <c:pt idx="10">
                  <c:v>0.3260530000043218</c:v>
                </c:pt>
                <c:pt idx="11">
                  <c:v>0.29063000000314787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4A-4620-BC3C-47F2A482B83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Active!$L$21:$L$31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4A-4620-BC3C-47F2A482B8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Active!$M$21:$M$31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4A-4620-BC3C-47F2A482B8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Active!$N$21:$N$31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4A-4620-BC3C-47F2A482B8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Active!$O$21:$O$31</c:f>
              <c:numCache>
                <c:formatCode>General</c:formatCode>
                <c:ptCount val="11"/>
                <c:pt idx="1">
                  <c:v>-3.5758372589258583E-3</c:v>
                </c:pt>
                <c:pt idx="2">
                  <c:v>0.2368662102561343</c:v>
                </c:pt>
                <c:pt idx="3">
                  <c:v>0.23710890703501447</c:v>
                </c:pt>
                <c:pt idx="4">
                  <c:v>0.24609651678193062</c:v>
                </c:pt>
                <c:pt idx="5">
                  <c:v>0.28302557181346683</c:v>
                </c:pt>
                <c:pt idx="6">
                  <c:v>0.28317432145213528</c:v>
                </c:pt>
                <c:pt idx="7">
                  <c:v>0.29210712870059463</c:v>
                </c:pt>
                <c:pt idx="8">
                  <c:v>0.30358433766311999</c:v>
                </c:pt>
                <c:pt idx="9">
                  <c:v>0.30358433766311999</c:v>
                </c:pt>
                <c:pt idx="10">
                  <c:v>0.30358433766311999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4A-4620-BC3C-47F2A482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1360"/>
        <c:axId val="1"/>
      </c:scatterChart>
      <c:valAx>
        <c:axId val="765821360"/>
        <c:scaling>
          <c:orientation val="minMax"/>
          <c:min val="18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13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63021807249861"/>
          <c:y val="0.91249999999999998"/>
          <c:w val="0.67689873176192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ER Sct - O-C Diagr.</a:t>
            </a:r>
          </a:p>
        </c:rich>
      </c:tx>
      <c:layout>
        <c:manualLayout>
          <c:xMode val="edge"/>
          <c:yMode val="edge"/>
          <c:x val="0.37419354838709679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0903492203661458"/>
          <c:w val="0.79838709677419351"/>
          <c:h val="0.6666683019762716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Active!$H$21:$H$31</c:f>
              <c:numCache>
                <c:formatCode>General</c:formatCode>
                <c:ptCount val="1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97-4E30-B8B0-2B55990D7B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  <c:pt idx="11">
                  <c:v>23570</c:v>
                </c:pt>
              </c:numCache>
            </c:numRef>
          </c:xVal>
          <c:yVal>
            <c:numRef>
              <c:f>Active!$I$21:$I$500</c:f>
              <c:numCache>
                <c:formatCode>General</c:formatCode>
                <c:ptCount val="480"/>
                <c:pt idx="1">
                  <c:v>3.4999999843421392E-4</c:v>
                </c:pt>
                <c:pt idx="4">
                  <c:v>0.24908449999929871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97-4E30-B8B0-2B55990D7B4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Active!$J$21:$J$31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97-4E30-B8B0-2B55990D7B4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  <c:pt idx="11">
                  <c:v>23570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2">
                  <c:v>0.23275400000420632</c:v>
                </c:pt>
                <c:pt idx="3">
                  <c:v>0.2285185000000638</c:v>
                </c:pt>
                <c:pt idx="5">
                  <c:v>0.25398600000335136</c:v>
                </c:pt>
                <c:pt idx="6">
                  <c:v>0.28729649999877438</c:v>
                </c:pt>
                <c:pt idx="7">
                  <c:v>0.28310600000259001</c:v>
                </c:pt>
                <c:pt idx="8">
                  <c:v>0.32105299999966519</c:v>
                </c:pt>
                <c:pt idx="9">
                  <c:v>0.32105299999966519</c:v>
                </c:pt>
                <c:pt idx="10">
                  <c:v>0.3260530000043218</c:v>
                </c:pt>
                <c:pt idx="11">
                  <c:v>0.29063000000314787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97-4E30-B8B0-2B55990D7B4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Active!$L$21:$L$31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97-4E30-B8B0-2B55990D7B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Active!$M$21:$M$31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97-4E30-B8B0-2B55990D7B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Active!$N$21:$N$31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97-4E30-B8B0-2B55990D7B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Active!$F$21:$F$31</c:f>
              <c:numCache>
                <c:formatCode>General</c:formatCode>
                <c:ptCount val="11"/>
                <c:pt idx="0">
                  <c:v>0</c:v>
                </c:pt>
                <c:pt idx="1">
                  <c:v>3650</c:v>
                </c:pt>
                <c:pt idx="2">
                  <c:v>19006</c:v>
                </c:pt>
                <c:pt idx="3">
                  <c:v>19021.5</c:v>
                </c:pt>
                <c:pt idx="4">
                  <c:v>19595.5</c:v>
                </c:pt>
                <c:pt idx="5">
                  <c:v>21954</c:v>
                </c:pt>
                <c:pt idx="6">
                  <c:v>21963.5</c:v>
                </c:pt>
                <c:pt idx="7">
                  <c:v>22534</c:v>
                </c:pt>
                <c:pt idx="8">
                  <c:v>23267</c:v>
                </c:pt>
                <c:pt idx="9">
                  <c:v>23267</c:v>
                </c:pt>
                <c:pt idx="10">
                  <c:v>23267</c:v>
                </c:pt>
              </c:numCache>
            </c:numRef>
          </c:xVal>
          <c:yVal>
            <c:numRef>
              <c:f>Active!$O$21:$O$31</c:f>
              <c:numCache>
                <c:formatCode>General</c:formatCode>
                <c:ptCount val="11"/>
                <c:pt idx="1">
                  <c:v>-3.5758372589258583E-3</c:v>
                </c:pt>
                <c:pt idx="2">
                  <c:v>0.2368662102561343</c:v>
                </c:pt>
                <c:pt idx="3">
                  <c:v>0.23710890703501447</c:v>
                </c:pt>
                <c:pt idx="4">
                  <c:v>0.24609651678193062</c:v>
                </c:pt>
                <c:pt idx="5">
                  <c:v>0.28302557181346683</c:v>
                </c:pt>
                <c:pt idx="6">
                  <c:v>0.28317432145213528</c:v>
                </c:pt>
                <c:pt idx="7">
                  <c:v>0.29210712870059463</c:v>
                </c:pt>
                <c:pt idx="8">
                  <c:v>0.30358433766311999</c:v>
                </c:pt>
                <c:pt idx="9">
                  <c:v>0.30358433766311999</c:v>
                </c:pt>
                <c:pt idx="10">
                  <c:v>0.30358433766311999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97-4E30-B8B0-2B55990D7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2672"/>
        <c:axId val="1"/>
      </c:scatterChart>
      <c:valAx>
        <c:axId val="76582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26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54838709677419"/>
          <c:y val="0.91277520216514996"/>
          <c:w val="0.675806451612903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7600065-1DA0-180A-48E2-9D59D202D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200024</xdr:colOff>
      <xdr:row>0</xdr:row>
      <xdr:rowOff>0</xdr:rowOff>
    </xdr:from>
    <xdr:to>
      <xdr:col>27</xdr:col>
      <xdr:colOff>609599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79282D0-ABEF-A4CE-8E10-59FAC0B9A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konkoly.hu/cgi-bin/IBVS?5745" TargetMode="External"/><Relationship Id="rId1" Type="http://schemas.openxmlformats.org/officeDocument/2006/relationships/hyperlink" Target="http://www.konkoly.hu/cgi-bin/IBVS?5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workbookViewId="0">
      <pane xSplit="14" ySplit="22" topLeftCell="P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7109375" style="1" customWidth="1"/>
    <col min="6" max="6" width="15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s="34" customFormat="1" ht="20.25" x14ac:dyDescent="0.2">
      <c r="A1" s="33" t="s">
        <v>0</v>
      </c>
    </row>
    <row r="2" spans="1:6" s="34" customFormat="1" ht="12.95" customHeight="1" x14ac:dyDescent="0.2">
      <c r="A2" s="34" t="s">
        <v>1</v>
      </c>
      <c r="B2" s="34" t="s">
        <v>2</v>
      </c>
    </row>
    <row r="3" spans="1:6" s="34" customFormat="1" ht="12.95" customHeight="1" x14ac:dyDescent="0.2"/>
    <row r="4" spans="1:6" s="34" customFormat="1" ht="12.95" customHeight="1" x14ac:dyDescent="0.2">
      <c r="A4" s="35" t="s">
        <v>3</v>
      </c>
      <c r="C4" s="36">
        <v>27335.483</v>
      </c>
      <c r="D4" s="37">
        <v>1.3610409999999999</v>
      </c>
    </row>
    <row r="5" spans="1:6" s="34" customFormat="1" ht="12.95" customHeight="1" x14ac:dyDescent="0.2">
      <c r="A5" s="38" t="s">
        <v>4</v>
      </c>
      <c r="C5" s="39">
        <v>-9.5</v>
      </c>
      <c r="D5" s="34" t="s">
        <v>5</v>
      </c>
    </row>
    <row r="6" spans="1:6" s="34" customFormat="1" ht="12.95" customHeight="1" x14ac:dyDescent="0.2">
      <c r="A6" s="35" t="s">
        <v>6</v>
      </c>
    </row>
    <row r="7" spans="1:6" s="34" customFormat="1" ht="12.95" customHeight="1" x14ac:dyDescent="0.2">
      <c r="A7" s="34" t="s">
        <v>7</v>
      </c>
      <c r="C7" s="34">
        <f>+C4</f>
        <v>27335.483</v>
      </c>
    </row>
    <row r="8" spans="1:6" s="34" customFormat="1" ht="12.95" customHeight="1" x14ac:dyDescent="0.2">
      <c r="A8" s="34" t="s">
        <v>8</v>
      </c>
      <c r="C8" s="34">
        <f>+D4</f>
        <v>1.3610409999999999</v>
      </c>
    </row>
    <row r="9" spans="1:6" s="34" customFormat="1" ht="12.95" customHeight="1" x14ac:dyDescent="0.2">
      <c r="A9" s="40" t="s">
        <v>9</v>
      </c>
      <c r="B9" s="41">
        <v>21</v>
      </c>
      <c r="C9" s="42" t="str">
        <f>"F"&amp;B9</f>
        <v>F21</v>
      </c>
      <c r="D9" s="43" t="str">
        <f>"G"&amp;B9</f>
        <v>G21</v>
      </c>
    </row>
    <row r="10" spans="1:6" s="34" customFormat="1" ht="12.95" customHeight="1" x14ac:dyDescent="0.2">
      <c r="C10" s="44" t="s">
        <v>10</v>
      </c>
      <c r="D10" s="44" t="s">
        <v>11</v>
      </c>
    </row>
    <row r="11" spans="1:6" s="34" customFormat="1" ht="12.95" customHeight="1" x14ac:dyDescent="0.2">
      <c r="A11" s="34" t="s">
        <v>12</v>
      </c>
      <c r="C11" s="43">
        <f ca="1">INTERCEPT(INDIRECT($D$9):G974,INDIRECT($C$9):F974)</f>
        <v>-6.072701422102339E-2</v>
      </c>
      <c r="D11" s="8"/>
    </row>
    <row r="12" spans="1:6" s="34" customFormat="1" ht="12.95" customHeight="1" x14ac:dyDescent="0.2">
      <c r="A12" s="34" t="s">
        <v>13</v>
      </c>
      <c r="C12" s="43">
        <f ca="1">SLOPE(INDIRECT($D$9):G974,INDIRECT($C$9):F974)</f>
        <v>1.5657856701944529E-5</v>
      </c>
      <c r="D12" s="8"/>
    </row>
    <row r="13" spans="1:6" s="34" customFormat="1" ht="12.95" customHeight="1" x14ac:dyDescent="0.2">
      <c r="A13" s="34" t="s">
        <v>14</v>
      </c>
      <c r="C13" s="8" t="s">
        <v>15</v>
      </c>
      <c r="D13" s="8"/>
    </row>
    <row r="14" spans="1:6" s="34" customFormat="1" ht="12.95" customHeight="1" x14ac:dyDescent="0.2"/>
    <row r="15" spans="1:6" s="34" customFormat="1" ht="12.95" customHeight="1" x14ac:dyDescent="0.2">
      <c r="A15" s="35" t="s">
        <v>16</v>
      </c>
      <c r="C15" s="45">
        <f ca="1">(C7+C11)+(C8+C12)*INT(MAX(F21:F3529))</f>
        <v>59415.527698668244</v>
      </c>
      <c r="D15" s="40"/>
      <c r="E15" s="40" t="s">
        <v>17</v>
      </c>
      <c r="F15" s="39">
        <v>1</v>
      </c>
    </row>
    <row r="16" spans="1:6" s="34" customFormat="1" ht="12.95" customHeight="1" x14ac:dyDescent="0.2">
      <c r="A16" s="35" t="s">
        <v>18</v>
      </c>
      <c r="C16" s="45">
        <f ca="1">+C8+C12</f>
        <v>1.3610566578567018</v>
      </c>
      <c r="D16" s="40"/>
      <c r="E16" s="40" t="s">
        <v>19</v>
      </c>
      <c r="F16" s="43">
        <f ca="1">NOW()+15018.5+$C$5/24</f>
        <v>60374.782942245365</v>
      </c>
    </row>
    <row r="17" spans="1:17" s="34" customFormat="1" ht="12.95" customHeight="1" x14ac:dyDescent="0.2">
      <c r="A17" s="40" t="s">
        <v>20</v>
      </c>
      <c r="C17" s="34">
        <f>COUNT(C21:C2187)</f>
        <v>12</v>
      </c>
      <c r="D17" s="40"/>
      <c r="E17" s="40" t="s">
        <v>21</v>
      </c>
      <c r="F17" s="43">
        <f ca="1">ROUND(2*(F16-$C$7)/$C$8,0)/2+F15</f>
        <v>24276</v>
      </c>
    </row>
    <row r="18" spans="1:17" s="34" customFormat="1" ht="12.95" customHeight="1" x14ac:dyDescent="0.2">
      <c r="A18" s="35" t="s">
        <v>22</v>
      </c>
      <c r="C18" s="36">
        <f ca="1">+C15</f>
        <v>59415.527698668244</v>
      </c>
      <c r="D18" s="37">
        <f ca="1">+C16</f>
        <v>1.3610566578567018</v>
      </c>
      <c r="E18" s="40" t="s">
        <v>23</v>
      </c>
      <c r="F18" s="43">
        <f ca="1">ROUND(2*(F16-$C$15)/$C$16,0)/2+F15</f>
        <v>706</v>
      </c>
    </row>
    <row r="19" spans="1:17" s="34" customFormat="1" ht="12.95" customHeight="1" x14ac:dyDescent="0.2">
      <c r="E19" s="40" t="s">
        <v>24</v>
      </c>
      <c r="F19" s="46">
        <f ca="1">+$C$15+$C$16*F18-15018.5-$C$5/24</f>
        <v>45358.329532448413</v>
      </c>
    </row>
    <row r="20" spans="1:17" s="34" customFormat="1" ht="12.95" customHeight="1" x14ac:dyDescent="0.2">
      <c r="A20" s="44" t="s">
        <v>25</v>
      </c>
      <c r="B20" s="44" t="s">
        <v>26</v>
      </c>
      <c r="C20" s="44" t="s">
        <v>27</v>
      </c>
      <c r="D20" s="44" t="s">
        <v>28</v>
      </c>
      <c r="E20" s="44" t="s">
        <v>29</v>
      </c>
      <c r="F20" s="44" t="s">
        <v>30</v>
      </c>
      <c r="G20" s="44" t="s">
        <v>31</v>
      </c>
      <c r="H20" s="47" t="s">
        <v>32</v>
      </c>
      <c r="I20" s="47" t="s">
        <v>33</v>
      </c>
      <c r="J20" s="47" t="s">
        <v>34</v>
      </c>
      <c r="K20" s="47" t="s">
        <v>35</v>
      </c>
      <c r="L20" s="47" t="s">
        <v>36</v>
      </c>
      <c r="M20" s="47" t="s">
        <v>37</v>
      </c>
      <c r="N20" s="47" t="s">
        <v>38</v>
      </c>
      <c r="O20" s="47" t="s">
        <v>39</v>
      </c>
      <c r="P20" s="47" t="s">
        <v>40</v>
      </c>
      <c r="Q20" s="44" t="s">
        <v>41</v>
      </c>
    </row>
    <row r="21" spans="1:17" s="34" customFormat="1" ht="12.95" customHeight="1" x14ac:dyDescent="0.2">
      <c r="A21" s="34" t="s">
        <v>42</v>
      </c>
      <c r="C21" s="7">
        <f>+C4</f>
        <v>27335.483</v>
      </c>
      <c r="D21" s="7" t="s">
        <v>15</v>
      </c>
      <c r="E21" s="34">
        <f t="shared" ref="E21:E27" si="0">+(C21-C$7)/C$8</f>
        <v>0</v>
      </c>
      <c r="F21" s="34">
        <f t="shared" ref="F21:F28" si="1">ROUND(2*E21,0)/2</f>
        <v>0</v>
      </c>
      <c r="H21" s="34">
        <v>0</v>
      </c>
      <c r="Q21" s="48">
        <f t="shared" ref="Q21:Q27" si="2">+C21-15018.5</f>
        <v>12316.983</v>
      </c>
    </row>
    <row r="22" spans="1:17" s="34" customFormat="1" ht="12.95" customHeight="1" x14ac:dyDescent="0.2">
      <c r="A22" s="49" t="s">
        <v>43</v>
      </c>
      <c r="B22" s="50" t="s">
        <v>44</v>
      </c>
      <c r="C22" s="51">
        <v>32303.282999999999</v>
      </c>
      <c r="D22" s="7"/>
      <c r="E22" s="34">
        <f t="shared" si="0"/>
        <v>3650.0002571561031</v>
      </c>
      <c r="F22" s="34">
        <f t="shared" si="1"/>
        <v>3650</v>
      </c>
      <c r="G22" s="34">
        <f t="shared" ref="G22:G27" si="3">+C22-(C$7+F22*C$8)</f>
        <v>3.4999999843421392E-4</v>
      </c>
      <c r="I22" s="34">
        <f>+G22</f>
        <v>3.4999999843421392E-4</v>
      </c>
      <c r="O22" s="34">
        <f t="shared" ref="O22:O27" ca="1" si="4">+C$11+C$12*$F22</f>
        <v>-3.5758372589258583E-3</v>
      </c>
      <c r="Q22" s="48">
        <f t="shared" si="2"/>
        <v>17284.782999999999</v>
      </c>
    </row>
    <row r="23" spans="1:17" ht="12.95" customHeight="1" x14ac:dyDescent="0.2">
      <c r="A23" s="7" t="s">
        <v>45</v>
      </c>
      <c r="B23" s="8" t="s">
        <v>44</v>
      </c>
      <c r="C23" s="3">
        <v>53203.661</v>
      </c>
      <c r="D23" s="3">
        <v>2.0000000000000001E-4</v>
      </c>
      <c r="E23" s="1">
        <f t="shared" si="0"/>
        <v>19006.171011747625</v>
      </c>
      <c r="F23" s="1">
        <f t="shared" si="1"/>
        <v>19006</v>
      </c>
      <c r="G23" s="1">
        <f t="shared" si="3"/>
        <v>0.23275400000420632</v>
      </c>
      <c r="K23" s="1">
        <f>+G23</f>
        <v>0.23275400000420632</v>
      </c>
      <c r="O23" s="1">
        <f t="shared" ca="1" si="4"/>
        <v>0.2368662102561343</v>
      </c>
      <c r="Q23" s="30">
        <f t="shared" si="2"/>
        <v>38185.161</v>
      </c>
    </row>
    <row r="24" spans="1:17" ht="12.95" customHeight="1" x14ac:dyDescent="0.2">
      <c r="A24" s="9" t="s">
        <v>46</v>
      </c>
      <c r="B24" s="2" t="s">
        <v>47</v>
      </c>
      <c r="C24" s="3">
        <v>53224.752899999999</v>
      </c>
      <c r="D24" s="3">
        <v>1E-4</v>
      </c>
      <c r="E24" s="1">
        <f t="shared" si="0"/>
        <v>19021.66789979141</v>
      </c>
      <c r="F24" s="1">
        <f t="shared" si="1"/>
        <v>19021.5</v>
      </c>
      <c r="G24" s="1">
        <f t="shared" si="3"/>
        <v>0.2285185000000638</v>
      </c>
      <c r="K24" s="1">
        <f>+G24</f>
        <v>0.2285185000000638</v>
      </c>
      <c r="O24" s="1">
        <f t="shared" ca="1" si="4"/>
        <v>0.23710890703501447</v>
      </c>
      <c r="Q24" s="30">
        <f t="shared" si="2"/>
        <v>38206.252899999999</v>
      </c>
    </row>
    <row r="25" spans="1:17" ht="12.95" customHeight="1" x14ac:dyDescent="0.2">
      <c r="A25" s="4" t="s">
        <v>48</v>
      </c>
      <c r="B25" s="5" t="s">
        <v>47</v>
      </c>
      <c r="C25" s="6">
        <v>54006.010999999999</v>
      </c>
      <c r="D25" s="3"/>
      <c r="E25" s="1">
        <f t="shared" si="0"/>
        <v>19595.683010284039</v>
      </c>
      <c r="F25" s="1">
        <f t="shared" si="1"/>
        <v>19595.5</v>
      </c>
      <c r="G25" s="1">
        <f t="shared" si="3"/>
        <v>0.24908449999929871</v>
      </c>
      <c r="I25" s="1">
        <f>+G25</f>
        <v>0.24908449999929871</v>
      </c>
      <c r="O25" s="1">
        <f t="shared" ca="1" si="4"/>
        <v>0.24609651678193062</v>
      </c>
      <c r="Q25" s="30">
        <f t="shared" si="2"/>
        <v>38987.510999999999</v>
      </c>
    </row>
    <row r="26" spans="1:17" ht="12.95" customHeight="1" x14ac:dyDescent="0.2">
      <c r="A26" s="10" t="s">
        <v>49</v>
      </c>
      <c r="B26" s="11" t="s">
        <v>44</v>
      </c>
      <c r="C26" s="10">
        <v>57216.0311</v>
      </c>
      <c r="D26" s="10" t="s">
        <v>50</v>
      </c>
      <c r="E26" s="1">
        <f t="shared" si="0"/>
        <v>21954.186611571586</v>
      </c>
      <c r="F26" s="1">
        <f t="shared" si="1"/>
        <v>21954</v>
      </c>
      <c r="G26" s="1">
        <f t="shared" si="3"/>
        <v>0.25398600000335136</v>
      </c>
      <c r="K26" s="1">
        <f>+G26</f>
        <v>0.25398600000335136</v>
      </c>
      <c r="O26" s="1">
        <f t="shared" ca="1" si="4"/>
        <v>0.28302557181346683</v>
      </c>
      <c r="Q26" s="30">
        <f t="shared" si="2"/>
        <v>42197.5311</v>
      </c>
    </row>
    <row r="27" spans="1:17" ht="12.95" customHeight="1" x14ac:dyDescent="0.2">
      <c r="A27" s="10" t="s">
        <v>49</v>
      </c>
      <c r="B27" s="11" t="s">
        <v>47</v>
      </c>
      <c r="C27" s="10">
        <v>57228.994299999998</v>
      </c>
      <c r="D27" s="10" t="s">
        <v>50</v>
      </c>
      <c r="E27" s="1">
        <f t="shared" si="0"/>
        <v>21963.711085852668</v>
      </c>
      <c r="F27" s="1">
        <f t="shared" si="1"/>
        <v>21963.5</v>
      </c>
      <c r="G27" s="1">
        <f t="shared" si="3"/>
        <v>0.28729649999877438</v>
      </c>
      <c r="K27" s="1">
        <f>+G27</f>
        <v>0.28729649999877438</v>
      </c>
      <c r="O27" s="1">
        <f t="shared" ca="1" si="4"/>
        <v>0.28317432145213528</v>
      </c>
      <c r="Q27" s="30">
        <f t="shared" si="2"/>
        <v>42210.494299999998</v>
      </c>
    </row>
    <row r="28" spans="1:17" ht="12.95" customHeight="1" x14ac:dyDescent="0.2">
      <c r="A28" s="12" t="s">
        <v>51</v>
      </c>
      <c r="B28" s="13" t="s">
        <v>44</v>
      </c>
      <c r="C28" s="14">
        <v>58005.464</v>
      </c>
      <c r="D28" s="14">
        <v>0.01</v>
      </c>
      <c r="E28" s="1">
        <f>+(C28-C$7)/C$8</f>
        <v>22534.208006959379</v>
      </c>
      <c r="F28" s="1">
        <f t="shared" si="1"/>
        <v>22534</v>
      </c>
      <c r="G28" s="1">
        <f>+C28-(C$7+F28*C$8)</f>
        <v>0.28310600000259001</v>
      </c>
      <c r="K28" s="1">
        <f>+G28</f>
        <v>0.28310600000259001</v>
      </c>
      <c r="O28" s="1">
        <f ca="1">+C$11+C$12*$F28</f>
        <v>0.29210712870059463</v>
      </c>
      <c r="Q28" s="30">
        <f>+C28-15018.5</f>
        <v>42986.964</v>
      </c>
    </row>
    <row r="29" spans="1:17" ht="12.95" customHeight="1" x14ac:dyDescent="0.2">
      <c r="A29" s="15" t="s">
        <v>52</v>
      </c>
      <c r="B29" s="16" t="s">
        <v>44</v>
      </c>
      <c r="C29" s="17">
        <v>59003.144999999997</v>
      </c>
      <c r="D29" s="17" t="s">
        <v>53</v>
      </c>
      <c r="E29" s="1">
        <f>+(C29-C$7)/C$8</f>
        <v>23267.235887824099</v>
      </c>
      <c r="F29" s="1">
        <f>ROUND(2*E29,0)/2</f>
        <v>23267</v>
      </c>
      <c r="G29" s="1">
        <f>+C29-(C$7+F29*C$8)</f>
        <v>0.32105299999966519</v>
      </c>
      <c r="K29" s="1">
        <f>+G29</f>
        <v>0.32105299999966519</v>
      </c>
      <c r="O29" s="1">
        <f ca="1">+C$11+C$12*$F29</f>
        <v>0.30358433766311999</v>
      </c>
      <c r="Q29" s="30">
        <f>+C29-15018.5</f>
        <v>43984.644999999997</v>
      </c>
    </row>
    <row r="30" spans="1:17" ht="12.95" customHeight="1" x14ac:dyDescent="0.2">
      <c r="A30" s="15" t="s">
        <v>52</v>
      </c>
      <c r="B30" s="16" t="s">
        <v>44</v>
      </c>
      <c r="C30" s="17">
        <v>59003.144999999997</v>
      </c>
      <c r="D30" s="17" t="s">
        <v>50</v>
      </c>
      <c r="E30" s="1">
        <f>+(C30-C$7)/C$8</f>
        <v>23267.235887824099</v>
      </c>
      <c r="F30" s="1">
        <f>ROUND(2*E30,0)/2</f>
        <v>23267</v>
      </c>
      <c r="G30" s="1">
        <f>+C30-(C$7+F30*C$8)</f>
        <v>0.32105299999966519</v>
      </c>
      <c r="K30" s="1">
        <f>+G30</f>
        <v>0.32105299999966519</v>
      </c>
      <c r="O30" s="1">
        <f ca="1">+C$11+C$12*$F30</f>
        <v>0.30358433766311999</v>
      </c>
      <c r="Q30" s="30">
        <f>+C30-15018.5</f>
        <v>43984.644999999997</v>
      </c>
    </row>
    <row r="31" spans="1:17" ht="12.95" customHeight="1" x14ac:dyDescent="0.2">
      <c r="A31" s="15" t="s">
        <v>52</v>
      </c>
      <c r="B31" s="16" t="s">
        <v>44</v>
      </c>
      <c r="C31" s="17">
        <v>59003.15</v>
      </c>
      <c r="D31" s="17" t="s">
        <v>54</v>
      </c>
      <c r="E31" s="1">
        <f>+(C31-C$7)/C$8</f>
        <v>23267.239561482718</v>
      </c>
      <c r="F31" s="1">
        <f>ROUND(2*E31,0)/2</f>
        <v>23267</v>
      </c>
      <c r="G31" s="1">
        <f>+C31-(C$7+F31*C$8)</f>
        <v>0.3260530000043218</v>
      </c>
      <c r="K31" s="1">
        <f>+G31</f>
        <v>0.3260530000043218</v>
      </c>
      <c r="O31" s="1">
        <f ca="1">+C$11+C$12*$F31</f>
        <v>0.30358433766311999</v>
      </c>
      <c r="Q31" s="30">
        <f>+C31-15018.5</f>
        <v>43984.65</v>
      </c>
    </row>
    <row r="32" spans="1:17" ht="12.95" customHeight="1" x14ac:dyDescent="0.2">
      <c r="A32" s="31" t="s">
        <v>86</v>
      </c>
      <c r="B32" s="32" t="s">
        <v>47</v>
      </c>
      <c r="C32" s="52">
        <v>59415.51</v>
      </c>
      <c r="D32" s="53">
        <v>0.01</v>
      </c>
      <c r="E32" s="1">
        <f>+(C32-C$7)/C$8</f>
        <v>23570.213535080871</v>
      </c>
      <c r="F32" s="1">
        <f>ROUND(2*E32,0)/2</f>
        <v>23570</v>
      </c>
      <c r="G32" s="1">
        <f>+C32-(C$7+F32*C$8)</f>
        <v>0.29063000000314787</v>
      </c>
      <c r="K32" s="1">
        <f>+G32</f>
        <v>0.29063000000314787</v>
      </c>
      <c r="O32" s="1">
        <f ca="1">+C$11+C$12*$F32</f>
        <v>0.30832866824380917</v>
      </c>
      <c r="Q32" s="30">
        <f>+C32-15018.5</f>
        <v>44397.01</v>
      </c>
    </row>
    <row r="33" spans="3:4" ht="12.95" customHeight="1" x14ac:dyDescent="0.2">
      <c r="C33" s="3"/>
      <c r="D33" s="3"/>
    </row>
    <row r="34" spans="3:4" ht="12.95" customHeight="1" x14ac:dyDescent="0.2">
      <c r="C34" s="3"/>
      <c r="D34" s="3"/>
    </row>
    <row r="35" spans="3:4" ht="12.95" customHeight="1" x14ac:dyDescent="0.2">
      <c r="C35" s="3"/>
      <c r="D35" s="3"/>
    </row>
    <row r="36" spans="3:4" ht="12.95" customHeight="1" x14ac:dyDescent="0.2">
      <c r="C36" s="3"/>
      <c r="D36" s="3"/>
    </row>
    <row r="37" spans="3:4" x14ac:dyDescent="0.2">
      <c r="C37" s="3"/>
      <c r="D37" s="3"/>
    </row>
    <row r="38" spans="3:4" x14ac:dyDescent="0.2">
      <c r="C38" s="3"/>
      <c r="D38" s="3"/>
    </row>
    <row r="39" spans="3:4" x14ac:dyDescent="0.2">
      <c r="C39" s="3"/>
      <c r="D39" s="3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workbookViewId="0">
      <selection activeCell="A14" sqref="A14"/>
    </sheetView>
  </sheetViews>
  <sheetFormatPr defaultRowHeight="12.75" x14ac:dyDescent="0.2"/>
  <cols>
    <col min="1" max="1" width="19.7109375" style="3" customWidth="1"/>
    <col min="2" max="2" width="4.42578125" customWidth="1"/>
    <col min="3" max="3" width="12.7109375" style="3" customWidth="1"/>
    <col min="4" max="4" width="5.42578125" customWidth="1"/>
    <col min="5" max="5" width="14.85546875" customWidth="1"/>
    <col min="7" max="7" width="12" customWidth="1"/>
    <col min="8" max="8" width="14.140625" style="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8" t="s">
        <v>55</v>
      </c>
      <c r="I1" s="19" t="s">
        <v>56</v>
      </c>
      <c r="J1" s="20" t="s">
        <v>35</v>
      </c>
    </row>
    <row r="2" spans="1:16" x14ac:dyDescent="0.2">
      <c r="I2" s="21" t="s">
        <v>57</v>
      </c>
      <c r="J2" s="22" t="s">
        <v>34</v>
      </c>
    </row>
    <row r="3" spans="1:16" x14ac:dyDescent="0.2">
      <c r="A3" s="23" t="s">
        <v>58</v>
      </c>
      <c r="I3" s="21" t="s">
        <v>59</v>
      </c>
      <c r="J3" s="22" t="s">
        <v>32</v>
      </c>
    </row>
    <row r="4" spans="1:16" x14ac:dyDescent="0.2">
      <c r="I4" s="21" t="s">
        <v>60</v>
      </c>
      <c r="J4" s="22" t="s">
        <v>32</v>
      </c>
    </row>
    <row r="5" spans="1:16" x14ac:dyDescent="0.2">
      <c r="I5" s="24" t="s">
        <v>54</v>
      </c>
      <c r="J5" s="25" t="s">
        <v>33</v>
      </c>
    </row>
    <row r="11" spans="1:16" ht="12.75" customHeight="1" x14ac:dyDescent="0.2">
      <c r="A11" s="3" t="str">
        <f>P11</f>
        <v> PRIR 2.66 </v>
      </c>
      <c r="B11" s="2" t="str">
        <f>IF(H11=INT(H11),"I","II")</f>
        <v>I</v>
      </c>
      <c r="C11" s="3">
        <f>1*G11</f>
        <v>27335.483</v>
      </c>
      <c r="D11" t="str">
        <f>VLOOKUP(F11,I$1:J$5,2,FALSE)</f>
        <v>vis</v>
      </c>
      <c r="E11">
        <f>VLOOKUP(C11,Active!C$21:E$969,3,FALSE)</f>
        <v>0</v>
      </c>
      <c r="F11" s="2" t="s">
        <v>54</v>
      </c>
      <c r="G11" t="str">
        <f>MID(I11,3,LEN(I11)-3)</f>
        <v>27335.483</v>
      </c>
      <c r="H11" s="3">
        <f>1*K11</f>
        <v>0</v>
      </c>
      <c r="I11" s="26" t="s">
        <v>61</v>
      </c>
      <c r="J11" s="27" t="s">
        <v>62</v>
      </c>
      <c r="K11" s="26">
        <v>0</v>
      </c>
      <c r="L11" s="26" t="s">
        <v>63</v>
      </c>
      <c r="M11" s="27" t="s">
        <v>64</v>
      </c>
      <c r="N11" s="27"/>
      <c r="O11" s="28" t="s">
        <v>65</v>
      </c>
      <c r="P11" s="28" t="s">
        <v>66</v>
      </c>
    </row>
    <row r="12" spans="1:16" ht="12.75" customHeight="1" x14ac:dyDescent="0.2">
      <c r="A12" s="3" t="str">
        <f>P12</f>
        <v>IBVS 5595 </v>
      </c>
      <c r="B12" s="2" t="str">
        <f>IF(H12=INT(H12),"I","II")</f>
        <v>I</v>
      </c>
      <c r="C12" s="3">
        <f>1*G12</f>
        <v>53203.661</v>
      </c>
      <c r="D12" t="str">
        <f>VLOOKUP(F12,I$1:J$5,2,FALSE)</f>
        <v>vis</v>
      </c>
      <c r="E12">
        <f>VLOOKUP(C12,Active!C$21:E$969,3,FALSE)</f>
        <v>19006.171011747625</v>
      </c>
      <c r="F12" s="2" t="s">
        <v>54</v>
      </c>
      <c r="G12" t="str">
        <f>MID(I12,3,LEN(I12)-3)</f>
        <v>53203.6610</v>
      </c>
      <c r="H12" s="3">
        <f>1*K12</f>
        <v>19006</v>
      </c>
      <c r="I12" s="26" t="s">
        <v>67</v>
      </c>
      <c r="J12" s="27" t="s">
        <v>68</v>
      </c>
      <c r="K12" s="26">
        <v>19006</v>
      </c>
      <c r="L12" s="26" t="s">
        <v>69</v>
      </c>
      <c r="M12" s="27" t="s">
        <v>70</v>
      </c>
      <c r="N12" s="27" t="s">
        <v>71</v>
      </c>
      <c r="O12" s="28" t="s">
        <v>72</v>
      </c>
      <c r="P12" s="29" t="s">
        <v>73</v>
      </c>
    </row>
    <row r="13" spans="1:16" ht="12.75" customHeight="1" x14ac:dyDescent="0.2">
      <c r="A13" s="3" t="str">
        <f>P13</f>
        <v>IBVS 5745 </v>
      </c>
      <c r="B13" s="2" t="str">
        <f>IF(H13=INT(H13),"I","II")</f>
        <v>II</v>
      </c>
      <c r="C13" s="3">
        <f>1*G13</f>
        <v>53224.752899999999</v>
      </c>
      <c r="D13" t="str">
        <f>VLOOKUP(F13,I$1:J$5,2,FALSE)</f>
        <v>vis</v>
      </c>
      <c r="E13">
        <f>VLOOKUP(C13,Active!C$21:E$969,3,FALSE)</f>
        <v>19021.66789979141</v>
      </c>
      <c r="F13" s="2" t="s">
        <v>54</v>
      </c>
      <c r="G13" t="str">
        <f>MID(I13,3,LEN(I13)-3)</f>
        <v>53224.7529</v>
      </c>
      <c r="H13" s="3">
        <f>1*K13</f>
        <v>19021.5</v>
      </c>
      <c r="I13" s="26" t="s">
        <v>74</v>
      </c>
      <c r="J13" s="27" t="s">
        <v>75</v>
      </c>
      <c r="K13" s="26">
        <v>19021.5</v>
      </c>
      <c r="L13" s="26" t="s">
        <v>76</v>
      </c>
      <c r="M13" s="27" t="s">
        <v>70</v>
      </c>
      <c r="N13" s="27" t="s">
        <v>71</v>
      </c>
      <c r="O13" s="28" t="s">
        <v>77</v>
      </c>
      <c r="P13" s="29" t="s">
        <v>78</v>
      </c>
    </row>
    <row r="14" spans="1:16" ht="12.75" customHeight="1" x14ac:dyDescent="0.2">
      <c r="A14" s="3" t="str">
        <f>P14</f>
        <v> BSAO 11.20 </v>
      </c>
      <c r="B14" s="2" t="str">
        <f>IF(H14=INT(H14),"I","II")</f>
        <v>I</v>
      </c>
      <c r="C14" s="3">
        <f>1*G14</f>
        <v>32303.282999999999</v>
      </c>
      <c r="D14" t="str">
        <f>VLOOKUP(F14,I$1:J$5,2,FALSE)</f>
        <v>vis</v>
      </c>
      <c r="E14">
        <f>VLOOKUP(C14,Active!C$21:E$969,3,FALSE)</f>
        <v>3650.0002571561031</v>
      </c>
      <c r="F14" s="2" t="s">
        <v>54</v>
      </c>
      <c r="G14" t="str">
        <f>MID(I14,3,LEN(I14)-3)</f>
        <v>32303.283</v>
      </c>
      <c r="H14" s="3">
        <f>1*K14</f>
        <v>3650</v>
      </c>
      <c r="I14" s="26" t="s">
        <v>79</v>
      </c>
      <c r="J14" s="27" t="s">
        <v>80</v>
      </c>
      <c r="K14" s="26">
        <v>3650</v>
      </c>
      <c r="L14" s="26" t="s">
        <v>63</v>
      </c>
      <c r="M14" s="27" t="s">
        <v>64</v>
      </c>
      <c r="N14" s="27"/>
      <c r="O14" s="28" t="s">
        <v>81</v>
      </c>
      <c r="P14" s="28" t="s">
        <v>43</v>
      </c>
    </row>
    <row r="15" spans="1:16" ht="12.75" customHeight="1" x14ac:dyDescent="0.2">
      <c r="A15" s="3" t="str">
        <f>P15</f>
        <v>VSB 45 </v>
      </c>
      <c r="B15" s="2" t="str">
        <f>IF(H15=INT(H15),"I","II")</f>
        <v>II</v>
      </c>
      <c r="C15" s="3">
        <f>1*G15</f>
        <v>54006.010999999999</v>
      </c>
      <c r="D15" t="str">
        <f>VLOOKUP(F15,I$1:J$5,2,FALSE)</f>
        <v>vis</v>
      </c>
      <c r="E15">
        <f>VLOOKUP(C15,Active!C$21:E$969,3,FALSE)</f>
        <v>19595.683010284039</v>
      </c>
      <c r="F15" s="2" t="s">
        <v>54</v>
      </c>
      <c r="G15" t="str">
        <f>MID(I15,3,LEN(I15)-3)</f>
        <v>54006.011</v>
      </c>
      <c r="H15" s="3">
        <f>1*K15</f>
        <v>19595.5</v>
      </c>
      <c r="I15" s="26" t="s">
        <v>82</v>
      </c>
      <c r="J15" s="27" t="s">
        <v>83</v>
      </c>
      <c r="K15" s="26">
        <v>19595.5</v>
      </c>
      <c r="L15" s="26" t="s">
        <v>84</v>
      </c>
      <c r="M15" s="27" t="s">
        <v>70</v>
      </c>
      <c r="N15" s="27" t="s">
        <v>71</v>
      </c>
      <c r="O15" s="28" t="s">
        <v>85</v>
      </c>
      <c r="P15" s="29" t="s">
        <v>48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5" r:id="rId3" xr:uid="{00000000-0004-0000-0100-00000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2023-01-24T04:43:37Z</dcterms:created>
  <dcterms:modified xsi:type="dcterms:W3CDTF">2024-03-05T05:47:26Z</dcterms:modified>
</cp:coreProperties>
</file>