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D48AF3C-E9E7-4DD6-BEF6-EF8F5E24F1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7" i="1" l="1"/>
  <c r="C7" i="1"/>
  <c r="C8" i="1"/>
  <c r="E24" i="1"/>
  <c r="F24" i="1"/>
  <c r="G24" i="1"/>
  <c r="I24" i="1"/>
  <c r="E23" i="1"/>
  <c r="F23" i="1"/>
  <c r="G23" i="1"/>
  <c r="I23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7" i="1"/>
  <c r="F37" i="1"/>
  <c r="G37" i="1"/>
  <c r="K37" i="1"/>
  <c r="G11" i="1"/>
  <c r="F11" i="1"/>
  <c r="E22" i="1"/>
  <c r="F22" i="1"/>
  <c r="G22" i="1"/>
  <c r="H22" i="1"/>
  <c r="E35" i="1"/>
  <c r="F35" i="1"/>
  <c r="G35" i="1"/>
  <c r="J35" i="1"/>
  <c r="E38" i="1"/>
  <c r="F38" i="1"/>
  <c r="G38" i="1"/>
  <c r="K38" i="1"/>
  <c r="E36" i="1"/>
  <c r="F36" i="1"/>
  <c r="G36" i="1"/>
  <c r="I36" i="1"/>
  <c r="Q34" i="1"/>
  <c r="Q33" i="1"/>
  <c r="Q32" i="1"/>
  <c r="Q31" i="1"/>
  <c r="Q30" i="1"/>
  <c r="I30" i="1"/>
  <c r="Q29" i="1"/>
  <c r="Q28" i="1"/>
  <c r="Q27" i="1"/>
  <c r="Q26" i="1"/>
  <c r="Q25" i="1"/>
  <c r="Q24" i="1"/>
  <c r="Q23" i="1"/>
  <c r="Q21" i="1"/>
  <c r="G12" i="2"/>
  <c r="C12" i="2"/>
  <c r="E12" i="2"/>
  <c r="G27" i="2"/>
  <c r="C27" i="2"/>
  <c r="E27" i="2"/>
  <c r="G26" i="2"/>
  <c r="C26" i="2"/>
  <c r="E26" i="2"/>
  <c r="G11" i="2"/>
  <c r="C11" i="2"/>
  <c r="E1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H12" i="2"/>
  <c r="B12" i="2"/>
  <c r="D12" i="2"/>
  <c r="A12" i="2"/>
  <c r="H27" i="2"/>
  <c r="B27" i="2"/>
  <c r="D27" i="2"/>
  <c r="A27" i="2"/>
  <c r="H26" i="2"/>
  <c r="B26" i="2"/>
  <c r="D26" i="2"/>
  <c r="A26" i="2"/>
  <c r="H11" i="2"/>
  <c r="B11" i="2"/>
  <c r="D11" i="2"/>
  <c r="A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Q36" i="1"/>
  <c r="E14" i="1"/>
  <c r="C17" i="1"/>
  <c r="Q38" i="1"/>
  <c r="Q35" i="1"/>
  <c r="Q22" i="1"/>
  <c r="E13" i="2"/>
  <c r="E21" i="1"/>
  <c r="F21" i="1"/>
  <c r="G21" i="1"/>
  <c r="I21" i="1"/>
  <c r="C12" i="1"/>
  <c r="C16" i="1" l="1"/>
  <c r="D18" i="1" s="1"/>
  <c r="E15" i="1"/>
  <c r="C11" i="1"/>
  <c r="O28" i="1" l="1"/>
  <c r="O37" i="1"/>
  <c r="O27" i="1"/>
  <c r="C15" i="1"/>
  <c r="O38" i="1"/>
  <c r="O22" i="1"/>
  <c r="O33" i="1"/>
  <c r="O35" i="1"/>
  <c r="O25" i="1"/>
  <c r="O36" i="1"/>
  <c r="O34" i="1"/>
  <c r="O32" i="1"/>
  <c r="O29" i="1"/>
  <c r="O31" i="1"/>
  <c r="O26" i="1"/>
  <c r="O30" i="1"/>
  <c r="O24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<sst xmlns="http://schemas.openxmlformats.org/spreadsheetml/2006/main" count="216" uniqueCount="126">
  <si>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</si>
  <si>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</si>
  <si>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</si>
  <si>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</si>
  <si>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</si>
  <si>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</si>
  <si>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</si>
  <si>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</si>
  <si>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</si>
  <si>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</si>
  <si>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</si>
  <si>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</si>
  <si>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</si>
  <si>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</si>
  <si>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</si>
  <si>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</si>
  <si>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</si>
  <si>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</si>
  <si>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</si>
  <si>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</si>
  <si>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</si>
  <si>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</si>
  <si>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</si>
  <si>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</si>
  <si>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</si>
  <si>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</si>
  <si>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</si>
  <si>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</si>
  <si>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</si>
  <si>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</si>
  <si>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</si>
  <si>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# of data points:</t>
  </si>
  <si>
    <t>EA/KE:</t>
  </si>
  <si>
    <t>IBVS 5945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</si>
  <si>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</si>
  <si>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</si>
  <si>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</si>
  <si>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</si>
  <si>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</si>
  <si>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</si>
  <si>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</si>
  <si>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</si>
  <si>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</si>
  <si>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</si>
  <si>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0074</t>
  </si>
  <si>
    <t>vis</t>
  </si>
  <si>
    <t>EY Sct / GSC 5125-3227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</si>
  <si>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</si>
  <si>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</si>
  <si>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</si>
  <si>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</si>
  <si>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</si>
  <si>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</si>
  <si>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</si>
  <si>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</si>
  <si>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</si>
  <si>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</si>
  <si>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</si>
  <si>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2427953.941 </t>
  </si>
  <si>
    <t> 31.05.1935 10:35 </t>
  </si>
  <si>
    <t> -0.008 </t>
  </si>
  <si>
    <t>P </t>
  </si>
  <si>
    <t> G.A.Bakos </t>
  </si>
  <si>
    <t> AOLD 20.190 </t>
  </si>
  <si>
    <t>2427983.700 </t>
  </si>
  <si>
    <t> 30.06.1935 04:48 </t>
  </si>
  <si>
    <t> 0.008 </t>
  </si>
  <si>
    <t>2427984.292 </t>
  </si>
  <si>
    <t> 30.06.1935 19:00 </t>
  </si>
  <si>
    <t> 0.017 </t>
  </si>
  <si>
    <t>2427985.452 </t>
  </si>
  <si>
    <t> 01.07.1935 22:50 </t>
  </si>
  <si>
    <t> 0.011 </t>
  </si>
  <si>
    <t>2427988.355 </t>
  </si>
  <si>
    <t> 04.07.1935 20:31 </t>
  </si>
  <si>
    <t> -0.002 </t>
  </si>
  <si>
    <t>2428015.742 </t>
  </si>
  <si>
    <t> 01.08.1935 05:48 </t>
  </si>
  <si>
    <t> -0.025 </t>
  </si>
  <si>
    <t>2428067.681 </t>
  </si>
  <si>
    <t> 22.09.1935 04:20 </t>
  </si>
  <si>
    <t> 0.010 </t>
  </si>
  <si>
    <t>2429107.480 </t>
  </si>
  <si>
    <t> 27.07.1938 23:31 </t>
  </si>
  <si>
    <t> -0.021 </t>
  </si>
  <si>
    <t>2429141.313 </t>
  </si>
  <si>
    <t> 30.08.1938 19:30 </t>
  </si>
  <si>
    <t> -0.013 </t>
  </si>
  <si>
    <t>2429457.424 </t>
  </si>
  <si>
    <t> 12.07.1939 22:10 </t>
  </si>
  <si>
    <t> 0.009 </t>
  </si>
  <si>
    <t>2429464.411 </t>
  </si>
  <si>
    <t> 19.07.1939 21:51 </t>
  </si>
  <si>
    <t>2429485.409 </t>
  </si>
  <si>
    <t> 09.08.1939 21:48 </t>
  </si>
  <si>
    <t> 0.000 </t>
  </si>
  <si>
    <t>2429488.350 </t>
  </si>
  <si>
    <t> 12.08.1939 20:24 </t>
  </si>
  <si>
    <t> 0.025 </t>
  </si>
  <si>
    <t>2451007.554 </t>
  </si>
  <si>
    <t> 13.07.1998 01:17 </t>
  </si>
  <si>
    <t> 0.065 </t>
  </si>
  <si>
    <t>E </t>
  </si>
  <si>
    <t>?</t>
  </si>
  <si>
    <t> R.Diethelm </t>
  </si>
  <si>
    <t> BBS 118 </t>
  </si>
  <si>
    <t>2451777.378 </t>
  </si>
  <si>
    <t> 20.08.2000 21:04 </t>
  </si>
  <si>
    <t> 0.077 </t>
  </si>
  <si>
    <t>V </t>
  </si>
  <si>
    <t> J.Zahajský </t>
  </si>
  <si>
    <t>OEJV 0074 </t>
  </si>
  <si>
    <t>2454319.5073 </t>
  </si>
  <si>
    <t> 07.08.2007 00:10 </t>
  </si>
  <si>
    <t> 0.0764 </t>
  </si>
  <si>
    <t>C </t>
  </si>
  <si>
    <t>-I</t>
  </si>
  <si>
    <t> F.Agerer </t>
  </si>
  <si>
    <t>BAVM 193 </t>
  </si>
  <si>
    <t>2455341.8435 </t>
  </si>
  <si>
    <t> 25.05.2010 08:14 </t>
  </si>
  <si>
    <t>23481</t>
  </si>
  <si>
    <t> 0.0788 </t>
  </si>
  <si>
    <t>IBVS 5945 </t>
  </si>
  <si>
    <t>II</t>
  </si>
  <si>
    <t>PE`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</si>
</sst>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Sct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83-466B-9E26-3F206830DE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-8.0000000016298145E-3</c:v>
                </c:pt>
                <c:pt idx="2">
                  <c:v>8.2590000019990839E-3</c:v>
                </c:pt>
                <c:pt idx="3">
                  <c:v>1.7068000001017936E-2</c:v>
                </c:pt>
                <c:pt idx="4">
                  <c:v>1.0686000001442153E-2</c:v>
                </c:pt>
                <c:pt idx="5">
                  <c:v>-2.2690000005241018E-3</c:v>
                </c:pt>
                <c:pt idx="6">
                  <c:v>-2.5246000001061475E-2</c:v>
                </c:pt>
                <c:pt idx="7">
                  <c:v>9.7549999991315417E-3</c:v>
                </c:pt>
                <c:pt idx="8">
                  <c:v>-2.0798000001377659E-2</c:v>
                </c:pt>
                <c:pt idx="9">
                  <c:v>-1.2876000000687782E-2</c:v>
                </c:pt>
                <c:pt idx="10">
                  <c:v>8.6019999980635475E-3</c:v>
                </c:pt>
                <c:pt idx="11">
                  <c:v>-2.6900000011664815E-3</c:v>
                </c:pt>
                <c:pt idx="12">
                  <c:v>4.3399999776738696E-4</c:v>
                </c:pt>
                <c:pt idx="13">
                  <c:v>2.5478999996266793E-2</c:v>
                </c:pt>
                <c:pt idx="15">
                  <c:v>7.684999999764841E-2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83-466B-9E26-3F206830DE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PE`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6.4769999989948701E-2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83-466B-9E26-3F206830DE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">
                  <c:v>7.6380999991670251E-2</c:v>
                </c:pt>
                <c:pt idx="17">
                  <c:v>7.8758000003290363E-2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83-466B-9E26-3F206830DE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83-466B-9E26-3F206830DE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83-466B-9E26-3F206830DE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83-466B-9E26-3F206830DE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25.5</c:v>
                </c:pt>
                <c:pt idx="3">
                  <c:v>26</c:v>
                </c:pt>
                <c:pt idx="4">
                  <c:v>27</c:v>
                </c:pt>
                <c:pt idx="5">
                  <c:v>29.5</c:v>
                </c:pt>
                <c:pt idx="6">
                  <c:v>53</c:v>
                </c:pt>
                <c:pt idx="7">
                  <c:v>97.5</c:v>
                </c:pt>
                <c:pt idx="8">
                  <c:v>989</c:v>
                </c:pt>
                <c:pt idx="9">
                  <c:v>1018</c:v>
                </c:pt>
                <c:pt idx="10">
                  <c:v>1289</c:v>
                </c:pt>
                <c:pt idx="11">
                  <c:v>1295</c:v>
                </c:pt>
                <c:pt idx="12">
                  <c:v>1313</c:v>
                </c:pt>
                <c:pt idx="13">
                  <c:v>1315.5</c:v>
                </c:pt>
                <c:pt idx="14">
                  <c:v>19765</c:v>
                </c:pt>
                <c:pt idx="15">
                  <c:v>20425</c:v>
                </c:pt>
                <c:pt idx="16">
                  <c:v>22604.5</c:v>
                </c:pt>
                <c:pt idx="17">
                  <c:v>23481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-1.1918869966461819E-3</c:v>
                </c:pt>
                <c:pt idx="1">
                  <c:v>-1.1918869966461819E-3</c:v>
                </c:pt>
                <c:pt idx="2">
                  <c:v>-1.1030504984808711E-3</c:v>
                </c:pt>
                <c:pt idx="3">
                  <c:v>-1.1013086063599827E-3</c:v>
                </c:pt>
                <c:pt idx="4">
                  <c:v>-1.0978248221182058E-3</c:v>
                </c:pt>
                <c:pt idx="5">
                  <c:v>-1.0891153615137635E-3</c:v>
                </c:pt>
                <c:pt idx="6">
                  <c:v>-1.0072464318320064E-3</c:v>
                </c:pt>
                <c:pt idx="7">
                  <c:v>-8.5221803307293465E-4</c:v>
                </c:pt>
                <c:pt idx="8">
                  <c:v>2.2535756184711674E-3</c:v>
                </c:pt>
                <c:pt idx="9">
                  <c:v>2.3546053614826976E-3</c:v>
                </c:pt>
                <c:pt idx="10">
                  <c:v>3.2987108910042355E-3</c:v>
                </c:pt>
                <c:pt idx="11">
                  <c:v>3.3196135964548975E-3</c:v>
                </c:pt>
                <c:pt idx="12">
                  <c:v>3.382321712806881E-3</c:v>
                </c:pt>
                <c:pt idx="13">
                  <c:v>3.3910311734113236E-3</c:v>
                </c:pt>
                <c:pt idx="14">
                  <c:v>6.7665108542074151E-2</c:v>
                </c:pt>
                <c:pt idx="15">
                  <c:v>6.9964406141646895E-2</c:v>
                </c:pt>
                <c:pt idx="16">
                  <c:v>7.7557313896599644E-2</c:v>
                </c:pt>
                <c:pt idx="17">
                  <c:v>8.0610850784517088E-2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83-466B-9E26-3F206830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5528"/>
        <c:axId val="1"/>
      </c:scatterChart>
      <c:valAx>
        <c:axId val="68945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45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8616732825751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0</xdr:row>
      <xdr:rowOff>0</xdr:rowOff>
    </xdr:from>
    <xdr:to>
      <xdr:col>18</xdr:col>
      <xdr:colOff>352425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E35409-1AB4-8F6A-202D-C3C87C1D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6" customFormat="1" ht="20.25">
      <c r="A1" s="53" t="s">
        <v>46</v>
      </c>
    </row>
    <row r="2" spans="1:7" s="26" customFormat="1" ht="12.95" customHeight="1">
      <c r="A2" s="26" t="s">
        <v>24</v>
      </c>
      <c r="B2" s="27" t="s">
        <v>32</v>
      </c>
    </row>
    <row r="3" spans="1:7" s="26" customFormat="1" ht="12.95" customHeight="1"/>
    <row r="4" spans="1:7" s="26" customFormat="1" ht="12.95" customHeight="1">
      <c r="A4" s="28" t="s">
        <v>0</v>
      </c>
      <c r="C4" s="29">
        <v>27953.949000000001</v>
      </c>
      <c r="D4" s="30">
        <v>1.166382</v>
      </c>
    </row>
    <row r="5" spans="1:7" s="26" customFormat="1" ht="12.95" customHeight="1"/>
    <row r="6" spans="1:7" s="26" customFormat="1" ht="12.95" customHeight="1">
      <c r="A6" s="28" t="s">
        <v>1</v>
      </c>
    </row>
    <row r="7" spans="1:7" s="26" customFormat="1" ht="12.95" customHeight="1">
      <c r="A7" s="26" t="s">
        <v>2</v>
      </c>
      <c r="C7" s="26">
        <f>+C4</f>
        <v>27953.949000000001</v>
      </c>
    </row>
    <row r="8" spans="1:7" s="26" customFormat="1" ht="12.95" customHeight="1">
      <c r="A8" s="26" t="s">
        <v>3</v>
      </c>
      <c r="C8" s="26">
        <f>+D4</f>
        <v>1.166382</v>
      </c>
    </row>
    <row r="9" spans="1:7" s="26" customFormat="1" ht="12.95" customHeight="1">
      <c r="A9" s="31" t="s">
        <v>35</v>
      </c>
      <c r="C9" s="32">
        <v>-9.5</v>
      </c>
      <c r="D9" s="26" t="s">
        <v>36</v>
      </c>
    </row>
    <row r="10" spans="1:7" s="26" customFormat="1" ht="12.95" customHeight="1" thickBot="1">
      <c r="C10" s="33" t="s">
        <v>20</v>
      </c>
      <c r="D10" s="33" t="s">
        <v>21</v>
      </c>
    </row>
    <row r="11" spans="1:7" s="26" customFormat="1" ht="12.95" customHeight="1">
      <c r="A11" s="26" t="s">
        <v>16</v>
      </c>
      <c r="C11" s="34">
        <f ca="1">INTERCEPT(INDIRECT($G$11):G991,INDIRECT($F$11):F991)</f>
        <v>-1.1918869966461819E-3</v>
      </c>
      <c r="D11" s="35"/>
      <c r="F11" s="36" t="str">
        <f>"F"&amp;E19</f>
        <v>F21</v>
      </c>
      <c r="G11" s="34" t="str">
        <f>"G"&amp;E19</f>
        <v>G21</v>
      </c>
    </row>
    <row r="12" spans="1:7" s="26" customFormat="1" ht="12.95" customHeight="1">
      <c r="A12" s="26" t="s">
        <v>17</v>
      </c>
      <c r="C12" s="34">
        <f ca="1">SLOPE(INDIRECT($G$11):G991,INDIRECT($F$11):F991)</f>
        <v>3.4837842417768951E-6</v>
      </c>
      <c r="D12" s="35"/>
    </row>
    <row r="13" spans="1:7" s="26" customFormat="1" ht="12.95" customHeight="1">
      <c r="A13" s="26" t="s">
        <v>19</v>
      </c>
      <c r="C13" s="35" t="s">
        <v>14</v>
      </c>
      <c r="D13" s="37" t="s">
        <v>42</v>
      </c>
      <c r="E13" s="32">
        <v>1</v>
      </c>
    </row>
    <row r="14" spans="1:7" s="26" customFormat="1" ht="12.95" customHeight="1">
      <c r="D14" s="37" t="s">
        <v>37</v>
      </c>
      <c r="E14" s="38">
        <f ca="1">NOW()+15018.5+$C$9/24</f>
        <v>60374.784099999997</v>
      </c>
    </row>
    <row r="15" spans="1:7" s="26" customFormat="1" ht="12.95" customHeight="1">
      <c r="A15" s="39" t="s">
        <v>18</v>
      </c>
      <c r="C15" s="40">
        <f ca="1">(C7+C11)+(C8+C12)*INT(MAX(F21:F3532))</f>
        <v>55341.845352850782</v>
      </c>
      <c r="D15" s="37" t="s">
        <v>43</v>
      </c>
      <c r="E15" s="38">
        <f ca="1">ROUND(2*(E14-$C$7)/$C$8,0)/2+E13</f>
        <v>27797</v>
      </c>
    </row>
    <row r="16" spans="1:7" s="26" customFormat="1" ht="12.95" customHeight="1">
      <c r="A16" s="28" t="s">
        <v>4</v>
      </c>
      <c r="C16" s="41">
        <f ca="1">+C8+C12</f>
        <v>1.1663854837842418</v>
      </c>
      <c r="D16" s="37" t="s">
        <v>38</v>
      </c>
      <c r="E16" s="34">
        <f ca="1">ROUND(2*(E14-$C$15)/$C$16,0)/2+E13</f>
        <v>4316</v>
      </c>
    </row>
    <row r="17" spans="1:17" s="26" customFormat="1" ht="12.95" customHeight="1" thickBot="1">
      <c r="A17" s="37" t="s">
        <v>31</v>
      </c>
      <c r="C17" s="26">
        <f>COUNT(C21:C2190)</f>
        <v>18</v>
      </c>
      <c r="D17" s="37" t="s">
        <v>39</v>
      </c>
      <c r="E17" s="42">
        <f ca="1">+$C$15+$C$16*E16-15018.5-$C$9/24</f>
        <v>45357.860934196906</v>
      </c>
    </row>
    <row r="18" spans="1:17" s="26" customFormat="1" ht="12.95" customHeight="1">
      <c r="A18" s="28" t="s">
        <v>5</v>
      </c>
      <c r="C18" s="29">
        <f ca="1">+C15</f>
        <v>55341.845352850782</v>
      </c>
      <c r="D18" s="30">
        <f ca="1">+C16</f>
        <v>1.1663854837842418</v>
      </c>
      <c r="E18" s="43" t="s">
        <v>40</v>
      </c>
    </row>
    <row r="19" spans="1:17" s="26" customFormat="1" ht="12.95" customHeight="1" thickTop="1">
      <c r="A19" s="44" t="s">
        <v>41</v>
      </c>
      <c r="E19" s="45">
        <v>21</v>
      </c>
    </row>
    <row r="20" spans="1:17" s="26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6" t="s">
        <v>12</v>
      </c>
      <c r="I20" s="46" t="s">
        <v>45</v>
      </c>
      <c r="J20" s="46" t="s">
        <v>125</v>
      </c>
      <c r="K20" s="46" t="s">
        <v>49</v>
      </c>
      <c r="L20" s="46" t="s">
        <v>25</v>
      </c>
      <c r="M20" s="46" t="s">
        <v>26</v>
      </c>
      <c r="N20" s="46" t="s">
        <v>27</v>
      </c>
      <c r="O20" s="46" t="s">
        <v>23</v>
      </c>
      <c r="P20" s="47" t="s">
        <v>22</v>
      </c>
      <c r="Q20" s="33" t="s">
        <v>15</v>
      </c>
    </row>
    <row r="21" spans="1:17" s="26" customFormat="1" ht="12.95" customHeight="1">
      <c r="A21" s="48" t="s">
        <v>63</v>
      </c>
      <c r="B21" s="49" t="s">
        <v>34</v>
      </c>
      <c r="C21" s="50">
        <v>27953.940999999999</v>
      </c>
      <c r="D21" s="51"/>
      <c r="E21" s="26">
        <f t="shared" ref="E21:E38" si="0">+(C21-C$7)/C$8</f>
        <v>-6.8588164097438181E-3</v>
      </c>
      <c r="F21" s="26">
        <f t="shared" ref="F21:F38" si="1">ROUND(2*E21,0)/2</f>
        <v>0</v>
      </c>
      <c r="G21" s="26">
        <f t="shared" ref="G21:G38" si="2">+C21-(C$7+F21*C$8)</f>
        <v>-8.0000000016298145E-3</v>
      </c>
      <c r="I21" s="26">
        <f>+G21</f>
        <v>-8.0000000016298145E-3</v>
      </c>
      <c r="O21" s="26">
        <f t="shared" ref="O21:O38" ca="1" si="3">+C$11+C$12*$F21</f>
        <v>-1.1918869966461819E-3</v>
      </c>
      <c r="Q21" s="52">
        <f t="shared" ref="Q21:Q38" si="4">+C21-15018.5</f>
        <v>12935.440999999999</v>
      </c>
    </row>
    <row r="22" spans="1:17" s="26" customFormat="1" ht="12.95" customHeight="1">
      <c r="A22" s="26" t="s">
        <v>12</v>
      </c>
      <c r="C22" s="51">
        <v>27953.949000000001</v>
      </c>
      <c r="D22" s="51" t="s">
        <v>14</v>
      </c>
      <c r="E22" s="26">
        <f t="shared" si="0"/>
        <v>0</v>
      </c>
      <c r="F22" s="26">
        <f t="shared" si="1"/>
        <v>0</v>
      </c>
      <c r="G22" s="26">
        <f t="shared" si="2"/>
        <v>0</v>
      </c>
      <c r="H22" s="26">
        <f>+G22</f>
        <v>0</v>
      </c>
      <c r="O22" s="26">
        <f t="shared" ca="1" si="3"/>
        <v>-1.1918869966461819E-3</v>
      </c>
      <c r="Q22" s="52">
        <f t="shared" si="4"/>
        <v>12935.449000000001</v>
      </c>
    </row>
    <row r="23" spans="1:17" s="26" customFormat="1" ht="12.95" customHeight="1">
      <c r="A23" s="48" t="s">
        <v>63</v>
      </c>
      <c r="B23" s="49" t="s">
        <v>124</v>
      </c>
      <c r="C23" s="50">
        <v>27983.7</v>
      </c>
      <c r="D23" s="51"/>
      <c r="E23" s="26">
        <f t="shared" si="0"/>
        <v>25.507080870589739</v>
      </c>
      <c r="F23" s="26">
        <f t="shared" si="1"/>
        <v>25.5</v>
      </c>
      <c r="G23" s="26">
        <f t="shared" si="2"/>
        <v>8.2590000019990839E-3</v>
      </c>
      <c r="I23" s="26">
        <f>+G23</f>
        <v>8.2590000019990839E-3</v>
      </c>
      <c r="O23" s="26">
        <f t="shared" ca="1" si="3"/>
        <v>-1.1030504984808711E-3</v>
      </c>
      <c r="Q23" s="52">
        <f t="shared" si="4"/>
        <v>12965.2</v>
      </c>
    </row>
    <row r="24" spans="1:17" s="26" customFormat="1" ht="12.95" customHeight="1">
      <c r="A24" s="48" t="s">
        <v>63</v>
      </c>
      <c r="B24" s="49" t="s">
        <v>34</v>
      </c>
      <c r="C24" s="50">
        <v>27984.292000000001</v>
      </c>
      <c r="D24" s="51"/>
      <c r="E24" s="26">
        <f t="shared" si="0"/>
        <v>26.014633284807854</v>
      </c>
      <c r="F24" s="26">
        <f t="shared" si="1"/>
        <v>26</v>
      </c>
      <c r="G24" s="26">
        <f t="shared" si="2"/>
        <v>1.7068000001017936E-2</v>
      </c>
      <c r="I24" s="26">
        <f>+G24</f>
        <v>1.7068000001017936E-2</v>
      </c>
      <c r="O24" s="26">
        <f t="shared" ca="1" si="3"/>
        <v>-1.1013086063599827E-3</v>
      </c>
      <c r="Q24" s="52">
        <f t="shared" si="4"/>
        <v>12965.792000000001</v>
      </c>
    </row>
    <row r="25" spans="1:17" s="26" customFormat="1" ht="12.95" customHeight="1">
      <c r="A25" s="48" t="s">
        <v>63</v>
      </c>
      <c r="B25" s="49" t="s">
        <v>34</v>
      </c>
      <c r="C25" s="50">
        <v>27985.452000000001</v>
      </c>
      <c r="D25" s="51"/>
      <c r="E25" s="26">
        <f t="shared" si="0"/>
        <v>27.009161664017974</v>
      </c>
      <c r="F25" s="26">
        <f t="shared" si="1"/>
        <v>27</v>
      </c>
      <c r="G25" s="26">
        <f t="shared" si="2"/>
        <v>1.0686000001442153E-2</v>
      </c>
      <c r="I25" s="26">
        <f>+G25</f>
        <v>1.0686000001442153E-2</v>
      </c>
      <c r="O25" s="26">
        <f t="shared" ca="1" si="3"/>
        <v>-1.0978248221182058E-3</v>
      </c>
      <c r="Q25" s="52">
        <f t="shared" si="4"/>
        <v>12966.952000000001</v>
      </c>
    </row>
    <row r="26" spans="1:17" s="26" customFormat="1" ht="12.95" customHeight="1">
      <c r="A26" s="48" t="s">
        <v>63</v>
      </c>
      <c r="B26" s="49" t="s">
        <v>124</v>
      </c>
      <c r="C26" s="50">
        <v>27988.355</v>
      </c>
      <c r="D26" s="51"/>
      <c r="E26" s="26">
        <f t="shared" si="0"/>
        <v>29.498054668195358</v>
      </c>
      <c r="F26" s="26">
        <f t="shared" si="1"/>
        <v>29.5</v>
      </c>
      <c r="G26" s="26">
        <f t="shared" si="2"/>
        <v>-2.2690000005241018E-3</v>
      </c>
      <c r="I26" s="26">
        <f>+G26</f>
        <v>-2.2690000005241018E-3</v>
      </c>
      <c r="O26" s="26">
        <f t="shared" ca="1" si="3"/>
        <v>-1.0891153615137635E-3</v>
      </c>
      <c r="Q26" s="52">
        <f t="shared" si="4"/>
        <v>12969.855</v>
      </c>
    </row>
    <row r="27" spans="1:17" s="26" customFormat="1" ht="12.95" customHeight="1">
      <c r="A27" s="48" t="s">
        <v>63</v>
      </c>
      <c r="B27" s="49" t="s">
        <v>34</v>
      </c>
      <c r="C27" s="50">
        <v>28015.741999999998</v>
      </c>
      <c r="D27" s="51"/>
      <c r="E27" s="26">
        <f t="shared" si="0"/>
        <v>52.978355290117513</v>
      </c>
      <c r="F27" s="26">
        <f t="shared" si="1"/>
        <v>53</v>
      </c>
      <c r="G27" s="26">
        <f t="shared" si="2"/>
        <v>-2.5246000001061475E-2</v>
      </c>
      <c r="I27" s="26">
        <f>+G27</f>
        <v>-2.5246000001061475E-2</v>
      </c>
      <c r="O27" s="26">
        <f t="shared" ca="1" si="3"/>
        <v>-1.0072464318320064E-3</v>
      </c>
      <c r="Q27" s="52">
        <f t="shared" si="4"/>
        <v>12997.241999999998</v>
      </c>
    </row>
    <row r="28" spans="1:17" s="26" customFormat="1" ht="12.95" customHeight="1">
      <c r="A28" s="48" t="s">
        <v>63</v>
      </c>
      <c r="B28" s="49" t="s">
        <v>124</v>
      </c>
      <c r="C28" s="50">
        <v>28067.681</v>
      </c>
      <c r="D28" s="51"/>
      <c r="E28" s="26">
        <f t="shared" si="0"/>
        <v>97.508363469257901</v>
      </c>
      <c r="F28" s="26">
        <f t="shared" si="1"/>
        <v>97.5</v>
      </c>
      <c r="G28" s="26">
        <f t="shared" si="2"/>
        <v>9.7549999991315417E-3</v>
      </c>
      <c r="I28" s="26">
        <f>+G28</f>
        <v>9.7549999991315417E-3</v>
      </c>
      <c r="O28" s="26">
        <f t="shared" ca="1" si="3"/>
        <v>-8.5221803307293465E-4</v>
      </c>
      <c r="Q28" s="52">
        <f t="shared" si="4"/>
        <v>13049.181</v>
      </c>
    </row>
    <row r="29" spans="1:17" s="26" customFormat="1" ht="12.95" customHeight="1">
      <c r="A29" s="48" t="s">
        <v>63</v>
      </c>
      <c r="B29" s="49" t="s">
        <v>34</v>
      </c>
      <c r="C29" s="50">
        <v>29107.48</v>
      </c>
      <c r="D29" s="51"/>
      <c r="E29" s="26">
        <f t="shared" si="0"/>
        <v>988.98216879204153</v>
      </c>
      <c r="F29" s="26">
        <f t="shared" si="1"/>
        <v>989</v>
      </c>
      <c r="G29" s="26">
        <f t="shared" si="2"/>
        <v>-2.0798000001377659E-2</v>
      </c>
      <c r="I29" s="26">
        <f>+G29</f>
        <v>-2.0798000001377659E-2</v>
      </c>
      <c r="O29" s="26">
        <f t="shared" ca="1" si="3"/>
        <v>2.2535756184711674E-3</v>
      </c>
      <c r="Q29" s="52">
        <f t="shared" si="4"/>
        <v>14088.98</v>
      </c>
    </row>
    <row r="30" spans="1:17">
      <c r="A30" s="23" t="s">
        <v>63</v>
      </c>
      <c r="B30" s="25" t="s">
        <v>34</v>
      </c>
      <c r="C30" s="24">
        <v>29141.312999999998</v>
      </c>
      <c r="D30" s="2"/>
      <c r="E30">
        <f t="shared" si="0"/>
        <v>1017.9889607349888</v>
      </c>
      <c r="F30">
        <f t="shared" si="1"/>
        <v>1018</v>
      </c>
      <c r="G30">
        <f t="shared" si="2"/>
        <v>-1.2876000000687782E-2</v>
      </c>
      <c r="I30">
        <f>+G30</f>
        <v>-1.2876000000687782E-2</v>
      </c>
      <c r="O30">
        <f t="shared" ca="1" si="3"/>
        <v>2.3546053614826976E-3</v>
      </c>
      <c r="Q30" s="1">
        <f t="shared" si="4"/>
        <v>14122.812999999998</v>
      </c>
    </row>
    <row r="31" spans="1:17">
      <c r="A31" s="23" t="s">
        <v>63</v>
      </c>
      <c r="B31" s="25" t="s">
        <v>34</v>
      </c>
      <c r="C31" s="24">
        <v>29457.423999999999</v>
      </c>
      <c r="D31" s="2"/>
      <c r="E31">
        <f t="shared" si="0"/>
        <v>1289.0073749423418</v>
      </c>
      <c r="F31">
        <f t="shared" si="1"/>
        <v>1289</v>
      </c>
      <c r="G31">
        <f t="shared" si="2"/>
        <v>8.6019999980635475E-3</v>
      </c>
      <c r="I31">
        <f>+G31</f>
        <v>8.6019999980635475E-3</v>
      </c>
      <c r="O31">
        <f t="shared" ca="1" si="3"/>
        <v>3.2987108910042355E-3</v>
      </c>
      <c r="Q31" s="1">
        <f t="shared" si="4"/>
        <v>14438.923999999999</v>
      </c>
    </row>
    <row r="32" spans="1:17">
      <c r="A32" s="23" t="s">
        <v>63</v>
      </c>
      <c r="B32" s="25" t="s">
        <v>34</v>
      </c>
      <c r="C32" s="24">
        <v>29464.411</v>
      </c>
      <c r="D32" s="2"/>
      <c r="E32">
        <f t="shared" si="0"/>
        <v>1294.9976937229821</v>
      </c>
      <c r="F32">
        <f t="shared" si="1"/>
        <v>1295</v>
      </c>
      <c r="G32">
        <f t="shared" si="2"/>
        <v>-2.6900000011664815E-3</v>
      </c>
      <c r="I32">
        <f>+G32</f>
        <v>-2.6900000011664815E-3</v>
      </c>
      <c r="O32">
        <f t="shared" ca="1" si="3"/>
        <v>3.3196135964548975E-3</v>
      </c>
      <c r="Q32" s="1">
        <f t="shared" si="4"/>
        <v>14445.911</v>
      </c>
    </row>
    <row r="33" spans="1:31">
      <c r="A33" s="23" t="s">
        <v>63</v>
      </c>
      <c r="B33" s="25" t="s">
        <v>34</v>
      </c>
      <c r="C33" s="24">
        <v>29485.409</v>
      </c>
      <c r="D33" s="2"/>
      <c r="E33">
        <f t="shared" si="0"/>
        <v>1313.0003720907894</v>
      </c>
      <c r="F33">
        <f t="shared" si="1"/>
        <v>1313</v>
      </c>
      <c r="G33">
        <f t="shared" si="2"/>
        <v>4.3399999776738696E-4</v>
      </c>
      <c r="I33">
        <f>+G33</f>
        <v>4.3399999776738696E-4</v>
      </c>
      <c r="O33">
        <f t="shared" ca="1" si="3"/>
        <v>3.382321712806881E-3</v>
      </c>
      <c r="Q33" s="1">
        <f t="shared" si="4"/>
        <v>14466.909</v>
      </c>
    </row>
    <row r="34" spans="1:31">
      <c r="A34" s="23" t="s">
        <v>63</v>
      </c>
      <c r="B34" s="25" t="s">
        <v>124</v>
      </c>
      <c r="C34" s="24">
        <v>29488.35</v>
      </c>
      <c r="D34" s="2"/>
      <c r="E34">
        <f t="shared" si="0"/>
        <v>1315.5218444729069</v>
      </c>
      <c r="F34">
        <f t="shared" si="1"/>
        <v>1315.5</v>
      </c>
      <c r="G34">
        <f t="shared" si="2"/>
        <v>2.5478999996266793E-2</v>
      </c>
      <c r="I34">
        <f>+G34</f>
        <v>2.5478999996266793E-2</v>
      </c>
      <c r="O34">
        <f t="shared" ca="1" si="3"/>
        <v>3.3910311734113236E-3</v>
      </c>
      <c r="Q34" s="1">
        <f t="shared" si="4"/>
        <v>14469.849999999999</v>
      </c>
    </row>
    <row r="35" spans="1:31">
      <c r="A35" t="s">
        <v>29</v>
      </c>
      <c r="C35" s="3">
        <v>51007.553999999996</v>
      </c>
      <c r="D35" s="2">
        <v>3.0000000000000001E-3</v>
      </c>
      <c r="E35">
        <f t="shared" si="0"/>
        <v>19765.055530692342</v>
      </c>
      <c r="F35">
        <f t="shared" si="1"/>
        <v>19765</v>
      </c>
      <c r="G35">
        <f t="shared" si="2"/>
        <v>6.4769999989948701E-2</v>
      </c>
      <c r="J35">
        <f>+G35</f>
        <v>6.4769999989948701E-2</v>
      </c>
      <c r="O35">
        <f t="shared" ca="1" si="3"/>
        <v>6.7665108542074151E-2</v>
      </c>
      <c r="Q35" s="1">
        <f t="shared" si="4"/>
        <v>35989.053999999996</v>
      </c>
      <c r="AA35">
        <v>10</v>
      </c>
      <c r="AC35" t="s">
        <v>28</v>
      </c>
      <c r="AE35" t="s">
        <v>30</v>
      </c>
    </row>
    <row r="36" spans="1:31">
      <c r="A36" s="8" t="s">
        <v>44</v>
      </c>
      <c r="B36" s="9" t="s">
        <v>34</v>
      </c>
      <c r="C36" s="8">
        <v>51777.378199999999</v>
      </c>
      <c r="D36" s="8" t="s">
        <v>45</v>
      </c>
      <c r="E36">
        <f t="shared" si="0"/>
        <v>20425.065887505119</v>
      </c>
      <c r="F36">
        <f t="shared" si="1"/>
        <v>20425</v>
      </c>
      <c r="G36">
        <f t="shared" si="2"/>
        <v>7.684999999764841E-2</v>
      </c>
      <c r="I36">
        <f>+G36</f>
        <v>7.684999999764841E-2</v>
      </c>
      <c r="O36">
        <f t="shared" ca="1" si="3"/>
        <v>6.9964406141646895E-2</v>
      </c>
      <c r="Q36" s="1">
        <f t="shared" si="4"/>
        <v>36758.878199999999</v>
      </c>
    </row>
    <row r="37" spans="1:31">
      <c r="A37" s="23" t="s">
        <v>118</v>
      </c>
      <c r="B37" s="25" t="s">
        <v>124</v>
      </c>
      <c r="C37" s="24">
        <v>54319.507299999997</v>
      </c>
      <c r="D37" s="2"/>
      <c r="E37">
        <f t="shared" si="0"/>
        <v>22604.565485407009</v>
      </c>
      <c r="F37">
        <f t="shared" si="1"/>
        <v>22604.5</v>
      </c>
      <c r="G37">
        <f t="shared" si="2"/>
        <v>7.6380999991670251E-2</v>
      </c>
      <c r="K37">
        <f>+G37</f>
        <v>7.6380999991670251E-2</v>
      </c>
      <c r="O37">
        <f t="shared" ca="1" si="3"/>
        <v>7.7557313896599644E-2</v>
      </c>
      <c r="Q37" s="1">
        <f t="shared" si="4"/>
        <v>39301.007299999997</v>
      </c>
    </row>
    <row r="38" spans="1:31">
      <c r="A38" s="4" t="s">
        <v>33</v>
      </c>
      <c r="B38" s="5" t="s">
        <v>34</v>
      </c>
      <c r="C38" s="4">
        <v>55341.843500000003</v>
      </c>
      <c r="D38" s="4">
        <v>2.0000000000000001E-4</v>
      </c>
      <c r="E38">
        <f t="shared" si="0"/>
        <v>23481.067523332837</v>
      </c>
      <c r="F38">
        <f t="shared" si="1"/>
        <v>23481</v>
      </c>
      <c r="G38">
        <f t="shared" si="2"/>
        <v>7.8758000003290363E-2</v>
      </c>
      <c r="K38">
        <f>+G38</f>
        <v>7.8758000003290363E-2</v>
      </c>
      <c r="O38">
        <f t="shared" ca="1" si="3"/>
        <v>8.0610850784517088E-2</v>
      </c>
      <c r="Q38" s="1">
        <f t="shared" si="4"/>
        <v>40323.343500000003</v>
      </c>
    </row>
    <row r="39" spans="1:31">
      <c r="B39" s="7"/>
      <c r="C39" s="2"/>
      <c r="D39" s="2"/>
    </row>
    <row r="40" spans="1:31">
      <c r="C40" s="2"/>
      <c r="D40" s="2"/>
    </row>
    <row r="41" spans="1:31">
      <c r="C41" s="2"/>
      <c r="D41" s="2"/>
    </row>
    <row r="42" spans="1:31">
      <c r="C42" s="2"/>
      <c r="D42" s="2"/>
    </row>
    <row r="43" spans="1:31">
      <c r="C43" s="2"/>
      <c r="D43" s="2"/>
    </row>
    <row r="44" spans="1:31">
      <c r="C44" s="2"/>
      <c r="D44" s="2"/>
    </row>
    <row r="45" spans="1:31">
      <c r="C45" s="2"/>
      <c r="D45" s="2"/>
    </row>
    <row r="46" spans="1:31">
      <c r="C46" s="2"/>
      <c r="D46" s="2"/>
    </row>
    <row r="47" spans="1:31">
      <c r="C47" s="2"/>
      <c r="D47" s="2"/>
    </row>
    <row r="48" spans="1:31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5" workbookViewId="0">
      <selection activeCell="A13" sqref="A13:C27"/>
    </sheetView>
  </sheetViews>
  <sheetFormatPr defaultRowHeight="12.75"/>
  <cols>
    <col min="1" max="1" width="19.7109375" style="2" customWidth="1"/>
    <col min="2" max="2" width="4.42578125" style="6" customWidth="1"/>
    <col min="3" max="3" width="12.7109375" style="2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2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0" t="s">
        <v>47</v>
      </c>
      <c r="I1" s="11" t="s">
        <v>48</v>
      </c>
      <c r="J1" s="12" t="s">
        <v>49</v>
      </c>
    </row>
    <row r="2" spans="1:16">
      <c r="I2" s="13" t="s">
        <v>50</v>
      </c>
      <c r="J2" s="14" t="s">
        <v>51</v>
      </c>
    </row>
    <row r="3" spans="1:16">
      <c r="A3" s="15" t="s">
        <v>52</v>
      </c>
      <c r="I3" s="13" t="s">
        <v>53</v>
      </c>
      <c r="J3" s="14" t="s">
        <v>54</v>
      </c>
    </row>
    <row r="4" spans="1:16">
      <c r="I4" s="13" t="s">
        <v>55</v>
      </c>
      <c r="J4" s="14" t="s">
        <v>54</v>
      </c>
    </row>
    <row r="5" spans="1:16" ht="13.5" thickBot="1">
      <c r="I5" s="16" t="s">
        <v>56</v>
      </c>
      <c r="J5" s="17" t="s">
        <v>45</v>
      </c>
    </row>
    <row r="10" spans="1:16" ht="13.5" thickBot="1"/>
    <row r="11" spans="1:16" ht="12.75" customHeight="1" thickBot="1">
      <c r="A11" s="2" t="str">
        <f t="shared" ref="A11:A27" si="0">P11</f>
        <v> BBS 118 </v>
      </c>
      <c r="B11" s="7" t="str">
        <f t="shared" ref="B11:B27" si="1">IF(H11=INT(H11),"I","II")</f>
        <v>I</v>
      </c>
      <c r="C11" s="2">
        <f t="shared" ref="C11:C27" si="2">1*G11</f>
        <v>51007.553999999996</v>
      </c>
      <c r="D11" s="6" t="str">
        <f t="shared" ref="D11:D27" si="3">VLOOKUP(F11,I$1:J$5,2,FALSE)</f>
        <v>vis</v>
      </c>
      <c r="E11" s="18">
        <f>VLOOKUP(C11,Active!C$21:E$972,3,FALSE)</f>
        <v>19765.055530692342</v>
      </c>
      <c r="F11" s="7" t="s">
        <v>56</v>
      </c>
      <c r="G11" s="6" t="str">
        <f t="shared" ref="G11:G27" si="4">MID(I11,3,LEN(I11)-3)</f>
        <v>51007.554</v>
      </c>
      <c r="H11" s="2">
        <f t="shared" ref="H11:H27" si="5">1*K11</f>
        <v>19765</v>
      </c>
      <c r="I11" s="19" t="s">
        <v>99</v>
      </c>
      <c r="J11" s="20" t="s">
        <v>100</v>
      </c>
      <c r="K11" s="19">
        <v>19765</v>
      </c>
      <c r="L11" s="19" t="s">
        <v>101</v>
      </c>
      <c r="M11" s="20" t="s">
        <v>102</v>
      </c>
      <c r="N11" s="20" t="s">
        <v>103</v>
      </c>
      <c r="O11" s="21" t="s">
        <v>104</v>
      </c>
      <c r="P11" s="21" t="s">
        <v>105</v>
      </c>
    </row>
    <row r="12" spans="1:16" ht="12.75" customHeight="1" thickBot="1">
      <c r="A12" s="2" t="str">
        <f t="shared" si="0"/>
        <v>IBVS 5945 </v>
      </c>
      <c r="B12" s="7" t="str">
        <f t="shared" si="1"/>
        <v>I</v>
      </c>
      <c r="C12" s="2">
        <f t="shared" si="2"/>
        <v>55341.843500000003</v>
      </c>
      <c r="D12" s="6" t="str">
        <f t="shared" si="3"/>
        <v>vis</v>
      </c>
      <c r="E12" s="18">
        <f>VLOOKUP(C12,Active!C$21:E$972,3,FALSE)</f>
        <v>23481.067523332837</v>
      </c>
      <c r="F12" s="7" t="s">
        <v>56</v>
      </c>
      <c r="G12" s="6" t="str">
        <f t="shared" si="4"/>
        <v>55341.8435</v>
      </c>
      <c r="H12" s="2">
        <f t="shared" si="5"/>
        <v>23481</v>
      </c>
      <c r="I12" s="19" t="s">
        <v>119</v>
      </c>
      <c r="J12" s="20" t="s">
        <v>120</v>
      </c>
      <c r="K12" s="19" t="s">
        <v>121</v>
      </c>
      <c r="L12" s="19" t="s">
        <v>122</v>
      </c>
      <c r="M12" s="20" t="s">
        <v>115</v>
      </c>
      <c r="N12" s="20" t="s">
        <v>56</v>
      </c>
      <c r="O12" s="21" t="s">
        <v>104</v>
      </c>
      <c r="P12" s="22" t="s">
        <v>123</v>
      </c>
    </row>
    <row r="13" spans="1:16" ht="12.75" customHeight="1" thickBot="1">
      <c r="A13" s="2" t="str">
        <f t="shared" si="0"/>
        <v> AOLD 20.190 </v>
      </c>
      <c r="B13" s="7" t="str">
        <f t="shared" si="1"/>
        <v>I</v>
      </c>
      <c r="C13" s="2">
        <f t="shared" si="2"/>
        <v>27953.940999999999</v>
      </c>
      <c r="D13" s="6" t="str">
        <f t="shared" si="3"/>
        <v>vis</v>
      </c>
      <c r="E13" s="18">
        <f>VLOOKUP(C13,Active!C$21:E$972,3,FALSE)</f>
        <v>-6.8588164097438181E-3</v>
      </c>
      <c r="F13" s="7" t="s">
        <v>56</v>
      </c>
      <c r="G13" s="6" t="str">
        <f t="shared" si="4"/>
        <v>27953.941</v>
      </c>
      <c r="H13" s="2">
        <f t="shared" si="5"/>
        <v>0</v>
      </c>
      <c r="I13" s="19" t="s">
        <v>58</v>
      </c>
      <c r="J13" s="20" t="s">
        <v>59</v>
      </c>
      <c r="K13" s="19">
        <v>0</v>
      </c>
      <c r="L13" s="19" t="s">
        <v>60</v>
      </c>
      <c r="M13" s="20" t="s">
        <v>61</v>
      </c>
      <c r="N13" s="20"/>
      <c r="O13" s="21" t="s">
        <v>62</v>
      </c>
      <c r="P13" s="21" t="s">
        <v>63</v>
      </c>
    </row>
    <row r="14" spans="1:16" ht="12.75" customHeight="1" thickBot="1">
      <c r="A14" s="2" t="str">
        <f t="shared" si="0"/>
        <v> AOLD 20.190 </v>
      </c>
      <c r="B14" s="7" t="str">
        <f t="shared" si="1"/>
        <v>II</v>
      </c>
      <c r="C14" s="2">
        <f t="shared" si="2"/>
        <v>27983.7</v>
      </c>
      <c r="D14" s="6" t="str">
        <f t="shared" si="3"/>
        <v>vis</v>
      </c>
      <c r="E14" s="18">
        <f>VLOOKUP(C14,Active!C$21:E$972,3,FALSE)</f>
        <v>25.507080870589739</v>
      </c>
      <c r="F14" s="7" t="s">
        <v>56</v>
      </c>
      <c r="G14" s="6" t="str">
        <f t="shared" si="4"/>
        <v>27983.700</v>
      </c>
      <c r="H14" s="2">
        <f t="shared" si="5"/>
        <v>25.5</v>
      </c>
      <c r="I14" s="19" t="s">
        <v>64</v>
      </c>
      <c r="J14" s="20" t="s">
        <v>65</v>
      </c>
      <c r="K14" s="19">
        <v>25.5</v>
      </c>
      <c r="L14" s="19" t="s">
        <v>66</v>
      </c>
      <c r="M14" s="20" t="s">
        <v>61</v>
      </c>
      <c r="N14" s="20"/>
      <c r="O14" s="21" t="s">
        <v>62</v>
      </c>
      <c r="P14" s="21" t="s">
        <v>63</v>
      </c>
    </row>
    <row r="15" spans="1:16" ht="12.75" customHeight="1" thickBot="1">
      <c r="A15" s="2" t="str">
        <f t="shared" si="0"/>
        <v> AOLD 20.190 </v>
      </c>
      <c r="B15" s="7" t="str">
        <f t="shared" si="1"/>
        <v>I</v>
      </c>
      <c r="C15" s="2">
        <f t="shared" si="2"/>
        <v>27984.292000000001</v>
      </c>
      <c r="D15" s="6" t="str">
        <f t="shared" si="3"/>
        <v>vis</v>
      </c>
      <c r="E15" s="18">
        <f>VLOOKUP(C15,Active!C$21:E$972,3,FALSE)</f>
        <v>26.014633284807854</v>
      </c>
      <c r="F15" s="7" t="s">
        <v>56</v>
      </c>
      <c r="G15" s="6" t="str">
        <f t="shared" si="4"/>
        <v>27984.292</v>
      </c>
      <c r="H15" s="2">
        <f t="shared" si="5"/>
        <v>26</v>
      </c>
      <c r="I15" s="19" t="s">
        <v>67</v>
      </c>
      <c r="J15" s="20" t="s">
        <v>68</v>
      </c>
      <c r="K15" s="19">
        <v>26</v>
      </c>
      <c r="L15" s="19" t="s">
        <v>69</v>
      </c>
      <c r="M15" s="20" t="s">
        <v>61</v>
      </c>
      <c r="N15" s="20"/>
      <c r="O15" s="21" t="s">
        <v>62</v>
      </c>
      <c r="P15" s="21" t="s">
        <v>63</v>
      </c>
    </row>
    <row r="16" spans="1:16" ht="12.75" customHeight="1" thickBot="1">
      <c r="A16" s="2" t="str">
        <f t="shared" si="0"/>
        <v> AOLD 20.190 </v>
      </c>
      <c r="B16" s="7" t="str">
        <f t="shared" si="1"/>
        <v>I</v>
      </c>
      <c r="C16" s="2">
        <f t="shared" si="2"/>
        <v>27985.452000000001</v>
      </c>
      <c r="D16" s="6" t="str">
        <f t="shared" si="3"/>
        <v>vis</v>
      </c>
      <c r="E16" s="18">
        <f>VLOOKUP(C16,Active!C$21:E$972,3,FALSE)</f>
        <v>27.009161664017974</v>
      </c>
      <c r="F16" s="7" t="s">
        <v>56</v>
      </c>
      <c r="G16" s="6" t="str">
        <f t="shared" si="4"/>
        <v>27985.452</v>
      </c>
      <c r="H16" s="2">
        <f t="shared" si="5"/>
        <v>27</v>
      </c>
      <c r="I16" s="19" t="s">
        <v>70</v>
      </c>
      <c r="J16" s="20" t="s">
        <v>71</v>
      </c>
      <c r="K16" s="19">
        <v>27</v>
      </c>
      <c r="L16" s="19" t="s">
        <v>72</v>
      </c>
      <c r="M16" s="20" t="s">
        <v>61</v>
      </c>
      <c r="N16" s="20"/>
      <c r="O16" s="21" t="s">
        <v>62</v>
      </c>
      <c r="P16" s="21" t="s">
        <v>63</v>
      </c>
    </row>
    <row r="17" spans="1:16" ht="12.75" customHeight="1" thickBot="1">
      <c r="A17" s="2" t="str">
        <f t="shared" si="0"/>
        <v> AOLD 20.190 </v>
      </c>
      <c r="B17" s="7" t="str">
        <f t="shared" si="1"/>
        <v>II</v>
      </c>
      <c r="C17" s="2">
        <f t="shared" si="2"/>
        <v>27988.355</v>
      </c>
      <c r="D17" s="6" t="str">
        <f t="shared" si="3"/>
        <v>vis</v>
      </c>
      <c r="E17" s="18">
        <f>VLOOKUP(C17,Active!C$21:E$972,3,FALSE)</f>
        <v>29.498054668195358</v>
      </c>
      <c r="F17" s="7" t="s">
        <v>56</v>
      </c>
      <c r="G17" s="6" t="str">
        <f t="shared" si="4"/>
        <v>27988.355</v>
      </c>
      <c r="H17" s="2">
        <f t="shared" si="5"/>
        <v>29.5</v>
      </c>
      <c r="I17" s="19" t="s">
        <v>73</v>
      </c>
      <c r="J17" s="20" t="s">
        <v>74</v>
      </c>
      <c r="K17" s="19">
        <v>29.5</v>
      </c>
      <c r="L17" s="19" t="s">
        <v>75</v>
      </c>
      <c r="M17" s="20" t="s">
        <v>61</v>
      </c>
      <c r="N17" s="20"/>
      <c r="O17" s="21" t="s">
        <v>62</v>
      </c>
      <c r="P17" s="21" t="s">
        <v>63</v>
      </c>
    </row>
    <row r="18" spans="1:16" ht="12.75" customHeight="1" thickBot="1">
      <c r="A18" s="2" t="str">
        <f t="shared" si="0"/>
        <v> AOLD 20.190 </v>
      </c>
      <c r="B18" s="7" t="str">
        <f t="shared" si="1"/>
        <v>I</v>
      </c>
      <c r="C18" s="2">
        <f t="shared" si="2"/>
        <v>28015.741999999998</v>
      </c>
      <c r="D18" s="6" t="str">
        <f t="shared" si="3"/>
        <v>vis</v>
      </c>
      <c r="E18" s="18">
        <f>VLOOKUP(C18,Active!C$21:E$972,3,FALSE)</f>
        <v>52.978355290117513</v>
      </c>
      <c r="F18" s="7" t="s">
        <v>56</v>
      </c>
      <c r="G18" s="6" t="str">
        <f t="shared" si="4"/>
        <v>28015.742</v>
      </c>
      <c r="H18" s="2">
        <f t="shared" si="5"/>
        <v>53</v>
      </c>
      <c r="I18" s="19" t="s">
        <v>76</v>
      </c>
      <c r="J18" s="20" t="s">
        <v>77</v>
      </c>
      <c r="K18" s="19">
        <v>53</v>
      </c>
      <c r="L18" s="19" t="s">
        <v>78</v>
      </c>
      <c r="M18" s="20" t="s">
        <v>61</v>
      </c>
      <c r="N18" s="20"/>
      <c r="O18" s="21" t="s">
        <v>62</v>
      </c>
      <c r="P18" s="21" t="s">
        <v>63</v>
      </c>
    </row>
    <row r="19" spans="1:16" ht="12.75" customHeight="1" thickBot="1">
      <c r="A19" s="2" t="str">
        <f t="shared" si="0"/>
        <v> AOLD 20.190 </v>
      </c>
      <c r="B19" s="7" t="str">
        <f t="shared" si="1"/>
        <v>II</v>
      </c>
      <c r="C19" s="2">
        <f t="shared" si="2"/>
        <v>28067.681</v>
      </c>
      <c r="D19" s="6" t="str">
        <f t="shared" si="3"/>
        <v>vis</v>
      </c>
      <c r="E19" s="18">
        <f>VLOOKUP(C19,Active!C$21:E$972,3,FALSE)</f>
        <v>97.508363469257901</v>
      </c>
      <c r="F19" s="7" t="s">
        <v>56</v>
      </c>
      <c r="G19" s="6" t="str">
        <f t="shared" si="4"/>
        <v>28067.681</v>
      </c>
      <c r="H19" s="2">
        <f t="shared" si="5"/>
        <v>97.5</v>
      </c>
      <c r="I19" s="19" t="s">
        <v>79</v>
      </c>
      <c r="J19" s="20" t="s">
        <v>80</v>
      </c>
      <c r="K19" s="19">
        <v>97.5</v>
      </c>
      <c r="L19" s="19" t="s">
        <v>81</v>
      </c>
      <c r="M19" s="20" t="s">
        <v>61</v>
      </c>
      <c r="N19" s="20"/>
      <c r="O19" s="21" t="s">
        <v>62</v>
      </c>
      <c r="P19" s="21" t="s">
        <v>63</v>
      </c>
    </row>
    <row r="20" spans="1:16" ht="12.75" customHeight="1" thickBot="1">
      <c r="A20" s="2" t="str">
        <f t="shared" si="0"/>
        <v> AOLD 20.190 </v>
      </c>
      <c r="B20" s="7" t="str">
        <f t="shared" si="1"/>
        <v>I</v>
      </c>
      <c r="C20" s="2">
        <f t="shared" si="2"/>
        <v>29107.48</v>
      </c>
      <c r="D20" s="6" t="str">
        <f t="shared" si="3"/>
        <v>vis</v>
      </c>
      <c r="E20" s="18">
        <f>VLOOKUP(C20,Active!C$21:E$972,3,FALSE)</f>
        <v>988.98216879204153</v>
      </c>
      <c r="F20" s="7" t="s">
        <v>56</v>
      </c>
      <c r="G20" s="6" t="str">
        <f t="shared" si="4"/>
        <v>29107.480</v>
      </c>
      <c r="H20" s="2">
        <f t="shared" si="5"/>
        <v>989</v>
      </c>
      <c r="I20" s="19" t="s">
        <v>82</v>
      </c>
      <c r="J20" s="20" t="s">
        <v>83</v>
      </c>
      <c r="K20" s="19">
        <v>989</v>
      </c>
      <c r="L20" s="19" t="s">
        <v>84</v>
      </c>
      <c r="M20" s="20" t="s">
        <v>61</v>
      </c>
      <c r="N20" s="20"/>
      <c r="O20" s="21" t="s">
        <v>62</v>
      </c>
      <c r="P20" s="21" t="s">
        <v>63</v>
      </c>
    </row>
    <row r="21" spans="1:16" ht="12.75" customHeight="1" thickBot="1">
      <c r="A21" s="2" t="str">
        <f t="shared" si="0"/>
        <v> AOLD 20.190 </v>
      </c>
      <c r="B21" s="7" t="str">
        <f t="shared" si="1"/>
        <v>I</v>
      </c>
      <c r="C21" s="2">
        <f t="shared" si="2"/>
        <v>29141.312999999998</v>
      </c>
      <c r="D21" s="6" t="str">
        <f t="shared" si="3"/>
        <v>vis</v>
      </c>
      <c r="E21" s="18">
        <f>VLOOKUP(C21,Active!C$21:E$972,3,FALSE)</f>
        <v>1017.9889607349888</v>
      </c>
      <c r="F21" s="7" t="s">
        <v>56</v>
      </c>
      <c r="G21" s="6" t="str">
        <f t="shared" si="4"/>
        <v>29141.313</v>
      </c>
      <c r="H21" s="2">
        <f t="shared" si="5"/>
        <v>1018</v>
      </c>
      <c r="I21" s="19" t="s">
        <v>85</v>
      </c>
      <c r="J21" s="20" t="s">
        <v>86</v>
      </c>
      <c r="K21" s="19">
        <v>1018</v>
      </c>
      <c r="L21" s="19" t="s">
        <v>87</v>
      </c>
      <c r="M21" s="20" t="s">
        <v>61</v>
      </c>
      <c r="N21" s="20"/>
      <c r="O21" s="21" t="s">
        <v>62</v>
      </c>
      <c r="P21" s="21" t="s">
        <v>63</v>
      </c>
    </row>
    <row r="22" spans="1:16" ht="12.75" customHeight="1" thickBot="1">
      <c r="A22" s="2" t="str">
        <f t="shared" si="0"/>
        <v> AOLD 20.190 </v>
      </c>
      <c r="B22" s="7" t="str">
        <f t="shared" si="1"/>
        <v>I</v>
      </c>
      <c r="C22" s="2">
        <f t="shared" si="2"/>
        <v>29457.423999999999</v>
      </c>
      <c r="D22" s="6" t="str">
        <f t="shared" si="3"/>
        <v>vis</v>
      </c>
      <c r="E22" s="18">
        <f>VLOOKUP(C22,Active!C$21:E$972,3,FALSE)</f>
        <v>1289.0073749423418</v>
      </c>
      <c r="F22" s="7" t="s">
        <v>56</v>
      </c>
      <c r="G22" s="6" t="str">
        <f t="shared" si="4"/>
        <v>29457.424</v>
      </c>
      <c r="H22" s="2">
        <f t="shared" si="5"/>
        <v>1289</v>
      </c>
      <c r="I22" s="19" t="s">
        <v>88</v>
      </c>
      <c r="J22" s="20" t="s">
        <v>89</v>
      </c>
      <c r="K22" s="19">
        <v>1289</v>
      </c>
      <c r="L22" s="19" t="s">
        <v>90</v>
      </c>
      <c r="M22" s="20" t="s">
        <v>61</v>
      </c>
      <c r="N22" s="20"/>
      <c r="O22" s="21" t="s">
        <v>62</v>
      </c>
      <c r="P22" s="21" t="s">
        <v>63</v>
      </c>
    </row>
    <row r="23" spans="1:16" ht="12.75" customHeight="1" thickBot="1">
      <c r="A23" s="2" t="str">
        <f t="shared" si="0"/>
        <v> AOLD 20.190 </v>
      </c>
      <c r="B23" s="7" t="str">
        <f t="shared" si="1"/>
        <v>I</v>
      </c>
      <c r="C23" s="2">
        <f t="shared" si="2"/>
        <v>29464.411</v>
      </c>
      <c r="D23" s="6" t="str">
        <f t="shared" si="3"/>
        <v>vis</v>
      </c>
      <c r="E23" s="18">
        <f>VLOOKUP(C23,Active!C$21:E$972,3,FALSE)</f>
        <v>1294.9976937229821</v>
      </c>
      <c r="F23" s="7" t="s">
        <v>56</v>
      </c>
      <c r="G23" s="6" t="str">
        <f t="shared" si="4"/>
        <v>29464.411</v>
      </c>
      <c r="H23" s="2">
        <f t="shared" si="5"/>
        <v>1295</v>
      </c>
      <c r="I23" s="19" t="s">
        <v>91</v>
      </c>
      <c r="J23" s="20" t="s">
        <v>92</v>
      </c>
      <c r="K23" s="19">
        <v>1295</v>
      </c>
      <c r="L23" s="19" t="s">
        <v>57</v>
      </c>
      <c r="M23" s="20" t="s">
        <v>61</v>
      </c>
      <c r="N23" s="20"/>
      <c r="O23" s="21" t="s">
        <v>62</v>
      </c>
      <c r="P23" s="21" t="s">
        <v>63</v>
      </c>
    </row>
    <row r="24" spans="1:16" ht="12.75" customHeight="1" thickBot="1">
      <c r="A24" s="2" t="str">
        <f t="shared" si="0"/>
        <v> AOLD 20.190 </v>
      </c>
      <c r="B24" s="7" t="str">
        <f t="shared" si="1"/>
        <v>I</v>
      </c>
      <c r="C24" s="2">
        <f t="shared" si="2"/>
        <v>29485.409</v>
      </c>
      <c r="D24" s="6" t="str">
        <f t="shared" si="3"/>
        <v>vis</v>
      </c>
      <c r="E24" s="18">
        <f>VLOOKUP(C24,Active!C$21:E$972,3,FALSE)</f>
        <v>1313.0003720907894</v>
      </c>
      <c r="F24" s="7" t="s">
        <v>56</v>
      </c>
      <c r="G24" s="6" t="str">
        <f t="shared" si="4"/>
        <v>29485.409</v>
      </c>
      <c r="H24" s="2">
        <f t="shared" si="5"/>
        <v>1313</v>
      </c>
      <c r="I24" s="19" t="s">
        <v>93</v>
      </c>
      <c r="J24" s="20" t="s">
        <v>94</v>
      </c>
      <c r="K24" s="19">
        <v>1313</v>
      </c>
      <c r="L24" s="19" t="s">
        <v>95</v>
      </c>
      <c r="M24" s="20" t="s">
        <v>61</v>
      </c>
      <c r="N24" s="20"/>
      <c r="O24" s="21" t="s">
        <v>62</v>
      </c>
      <c r="P24" s="21" t="s">
        <v>63</v>
      </c>
    </row>
    <row r="25" spans="1:16" ht="12.75" customHeight="1" thickBot="1">
      <c r="A25" s="2" t="str">
        <f t="shared" si="0"/>
        <v> AOLD 20.190 </v>
      </c>
      <c r="B25" s="7" t="str">
        <f t="shared" si="1"/>
        <v>II</v>
      </c>
      <c r="C25" s="2">
        <f t="shared" si="2"/>
        <v>29488.35</v>
      </c>
      <c r="D25" s="6" t="str">
        <f t="shared" si="3"/>
        <v>vis</v>
      </c>
      <c r="E25" s="18">
        <f>VLOOKUP(C25,Active!C$21:E$972,3,FALSE)</f>
        <v>1315.5218444729069</v>
      </c>
      <c r="F25" s="7" t="s">
        <v>56</v>
      </c>
      <c r="G25" s="6" t="str">
        <f t="shared" si="4"/>
        <v>29488.350</v>
      </c>
      <c r="H25" s="2">
        <f t="shared" si="5"/>
        <v>1315.5</v>
      </c>
      <c r="I25" s="19" t="s">
        <v>96</v>
      </c>
      <c r="J25" s="20" t="s">
        <v>97</v>
      </c>
      <c r="K25" s="19">
        <v>1315.5</v>
      </c>
      <c r="L25" s="19" t="s">
        <v>98</v>
      </c>
      <c r="M25" s="20" t="s">
        <v>61</v>
      </c>
      <c r="N25" s="20"/>
      <c r="O25" s="21" t="s">
        <v>62</v>
      </c>
      <c r="P25" s="21" t="s">
        <v>63</v>
      </c>
    </row>
    <row r="26" spans="1:16" ht="12.75" customHeight="1" thickBot="1">
      <c r="A26" s="2" t="str">
        <f t="shared" si="0"/>
        <v>OEJV 0074 </v>
      </c>
      <c r="B26" s="7" t="str">
        <f t="shared" si="1"/>
        <v>I</v>
      </c>
      <c r="C26" s="2">
        <f t="shared" si="2"/>
        <v>51777.377999999997</v>
      </c>
      <c r="D26" s="6" t="str">
        <f t="shared" si="3"/>
        <v>vis</v>
      </c>
      <c r="E26" s="18" t="e">
        <f>VLOOKUP(C26,Active!C$21:E$972,3,FALSE)</f>
        <v>#N/A</v>
      </c>
      <c r="F26" s="7" t="s">
        <v>56</v>
      </c>
      <c r="G26" s="6" t="str">
        <f t="shared" si="4"/>
        <v>51777.378</v>
      </c>
      <c r="H26" s="2">
        <f t="shared" si="5"/>
        <v>20425</v>
      </c>
      <c r="I26" s="19" t="s">
        <v>106</v>
      </c>
      <c r="J26" s="20" t="s">
        <v>107</v>
      </c>
      <c r="K26" s="19">
        <v>20425</v>
      </c>
      <c r="L26" s="19" t="s">
        <v>108</v>
      </c>
      <c r="M26" s="20" t="s">
        <v>109</v>
      </c>
      <c r="N26" s="20"/>
      <c r="O26" s="21" t="s">
        <v>110</v>
      </c>
      <c r="P26" s="22" t="s">
        <v>111</v>
      </c>
    </row>
    <row r="27" spans="1:16" ht="12.75" customHeight="1" thickBot="1">
      <c r="A27" s="2" t="str">
        <f t="shared" si="0"/>
        <v>BAVM 193 </v>
      </c>
      <c r="B27" s="7" t="str">
        <f t="shared" si="1"/>
        <v>II</v>
      </c>
      <c r="C27" s="2">
        <f t="shared" si="2"/>
        <v>54319.507299999997</v>
      </c>
      <c r="D27" s="6" t="str">
        <f t="shared" si="3"/>
        <v>vis</v>
      </c>
      <c r="E27" s="18">
        <f>VLOOKUP(C27,Active!C$21:E$972,3,FALSE)</f>
        <v>22604.565485407009</v>
      </c>
      <c r="F27" s="7" t="s">
        <v>56</v>
      </c>
      <c r="G27" s="6" t="str">
        <f t="shared" si="4"/>
        <v>54319.5073</v>
      </c>
      <c r="H27" s="2">
        <f t="shared" si="5"/>
        <v>22604.5</v>
      </c>
      <c r="I27" s="19" t="s">
        <v>112</v>
      </c>
      <c r="J27" s="20" t="s">
        <v>113</v>
      </c>
      <c r="K27" s="19">
        <v>22604.5</v>
      </c>
      <c r="L27" s="19" t="s">
        <v>114</v>
      </c>
      <c r="M27" s="20" t="s">
        <v>115</v>
      </c>
      <c r="N27" s="20" t="s">
        <v>116</v>
      </c>
      <c r="O27" s="21" t="s">
        <v>117</v>
      </c>
      <c r="P27" s="22" t="s">
        <v>118</v>
      </c>
    </row>
    <row r="28" spans="1:16">
      <c r="B28" s="7"/>
      <c r="E28" s="18"/>
      <c r="F28" s="7"/>
    </row>
    <row r="29" spans="1:16">
      <c r="B29" s="7"/>
      <c r="E29" s="18"/>
      <c r="F29" s="7"/>
    </row>
    <row r="30" spans="1:16">
      <c r="B30" s="7"/>
      <c r="E30" s="18"/>
      <c r="F30" s="7"/>
    </row>
    <row r="31" spans="1:16">
      <c r="B31" s="7"/>
      <c r="E31" s="18"/>
      <c r="F31" s="7"/>
    </row>
    <row r="32" spans="1:16">
      <c r="B32" s="7"/>
      <c r="E32" s="18"/>
      <c r="F32" s="7"/>
    </row>
    <row r="33" spans="2:6">
      <c r="B33" s="7"/>
      <c r="E33" s="18"/>
      <c r="F33" s="7"/>
    </row>
    <row r="34" spans="2:6">
      <c r="B34" s="7"/>
      <c r="E34" s="18"/>
      <c r="F34" s="7"/>
    </row>
    <row r="35" spans="2:6">
      <c r="B35" s="7"/>
      <c r="E35" s="18"/>
      <c r="F35" s="7"/>
    </row>
    <row r="36" spans="2:6">
      <c r="B36" s="7"/>
      <c r="E36" s="18"/>
      <c r="F36" s="7"/>
    </row>
    <row r="37" spans="2:6">
      <c r="B37" s="7"/>
      <c r="E37" s="18"/>
      <c r="F37" s="7"/>
    </row>
    <row r="38" spans="2:6">
      <c r="B38" s="7"/>
      <c r="E38" s="18"/>
      <c r="F38" s="7"/>
    </row>
    <row r="39" spans="2:6">
      <c r="B39" s="7"/>
      <c r="E39" s="18"/>
      <c r="F39" s="7"/>
    </row>
    <row r="40" spans="2:6">
      <c r="B40" s="7"/>
      <c r="E40" s="18"/>
      <c r="F40" s="7"/>
    </row>
    <row r="41" spans="2:6">
      <c r="B41" s="7"/>
      <c r="E41" s="18"/>
      <c r="F41" s="7"/>
    </row>
    <row r="42" spans="2:6">
      <c r="B42" s="7"/>
      <c r="E42" s="18"/>
      <c r="F42" s="7"/>
    </row>
    <row r="43" spans="2:6">
      <c r="B43" s="7"/>
      <c r="E43" s="18"/>
      <c r="F43" s="7"/>
    </row>
    <row r="44" spans="2:6">
      <c r="B44" s="7"/>
      <c r="F44" s="7"/>
    </row>
    <row r="45" spans="2:6">
      <c r="B45" s="7"/>
      <c r="F45" s="7"/>
    </row>
    <row r="46" spans="2:6">
      <c r="B46" s="7"/>
      <c r="F46" s="7"/>
    </row>
    <row r="47" spans="2:6">
      <c r="B47" s="7"/>
      <c r="F47" s="7"/>
    </row>
    <row r="48" spans="2:6">
      <c r="B48" s="7"/>
      <c r="F48" s="7"/>
    </row>
    <row r="49" spans="2:6">
      <c r="B49" s="7"/>
      <c r="F49" s="7"/>
    </row>
    <row r="50" spans="2:6">
      <c r="B50" s="7"/>
      <c r="F50" s="7"/>
    </row>
    <row r="51" spans="2:6">
      <c r="B51" s="7"/>
      <c r="F51" s="7"/>
    </row>
    <row r="52" spans="2:6">
      <c r="B52" s="7"/>
      <c r="F52" s="7"/>
    </row>
    <row r="53" spans="2:6">
      <c r="B53" s="7"/>
      <c r="F53" s="7"/>
    </row>
    <row r="54" spans="2:6">
      <c r="B54" s="7"/>
      <c r="F54" s="7"/>
    </row>
    <row r="55" spans="2:6">
      <c r="B55" s="7"/>
      <c r="F55" s="7"/>
    </row>
    <row r="56" spans="2:6">
      <c r="B56" s="7"/>
      <c r="F56" s="7"/>
    </row>
    <row r="57" spans="2:6">
      <c r="B57" s="7"/>
      <c r="F57" s="7"/>
    </row>
    <row r="58" spans="2:6">
      <c r="B58" s="7"/>
      <c r="F58" s="7"/>
    </row>
    <row r="59" spans="2:6">
      <c r="B59" s="7"/>
      <c r="F59" s="7"/>
    </row>
    <row r="60" spans="2:6">
      <c r="B60" s="7"/>
      <c r="F60" s="7"/>
    </row>
    <row r="61" spans="2:6">
      <c r="B61" s="7"/>
      <c r="F61" s="7"/>
    </row>
    <row r="62" spans="2:6">
      <c r="B62" s="7"/>
      <c r="F62" s="7"/>
    </row>
    <row r="63" spans="2:6">
      <c r="B63" s="7"/>
      <c r="F63" s="7"/>
    </row>
    <row r="64" spans="2:6">
      <c r="B64" s="7"/>
      <c r="F64" s="7"/>
    </row>
    <row r="65" spans="2:6">
      <c r="B65" s="7"/>
      <c r="F65" s="7"/>
    </row>
    <row r="66" spans="2:6">
      <c r="B66" s="7"/>
      <c r="F66" s="7"/>
    </row>
    <row r="67" spans="2:6">
      <c r="B67" s="7"/>
      <c r="F67" s="7"/>
    </row>
    <row r="68" spans="2:6">
      <c r="B68" s="7"/>
      <c r="F68" s="7"/>
    </row>
    <row r="69" spans="2:6">
      <c r="B69" s="7"/>
      <c r="F69" s="7"/>
    </row>
    <row r="70" spans="2:6">
      <c r="B70" s="7"/>
      <c r="F70" s="7"/>
    </row>
    <row r="71" spans="2:6">
      <c r="B71" s="7"/>
      <c r="F71" s="7"/>
    </row>
    <row r="72" spans="2:6">
      <c r="B72" s="7"/>
      <c r="F72" s="7"/>
    </row>
    <row r="73" spans="2:6">
      <c r="B73" s="7"/>
      <c r="F73" s="7"/>
    </row>
    <row r="74" spans="2:6">
      <c r="B74" s="7"/>
      <c r="F74" s="7"/>
    </row>
    <row r="75" spans="2:6">
      <c r="B75" s="7"/>
      <c r="F75" s="7"/>
    </row>
    <row r="76" spans="2:6">
      <c r="B76" s="7"/>
      <c r="F76" s="7"/>
    </row>
    <row r="77" spans="2:6">
      <c r="B77" s="7"/>
      <c r="F77" s="7"/>
    </row>
    <row r="78" spans="2:6">
      <c r="B78" s="7"/>
      <c r="F78" s="7"/>
    </row>
    <row r="79" spans="2:6">
      <c r="B79" s="7"/>
      <c r="F79" s="7"/>
    </row>
    <row r="80" spans="2:6">
      <c r="B80" s="7"/>
      <c r="F80" s="7"/>
    </row>
    <row r="81" spans="2:6">
      <c r="B81" s="7"/>
      <c r="F81" s="7"/>
    </row>
    <row r="82" spans="2:6">
      <c r="B82" s="7"/>
      <c r="F82" s="7"/>
    </row>
    <row r="83" spans="2:6">
      <c r="B83" s="7"/>
      <c r="F83" s="7"/>
    </row>
    <row r="84" spans="2:6">
      <c r="B84" s="7"/>
      <c r="F84" s="7"/>
    </row>
    <row r="85" spans="2:6">
      <c r="B85" s="7"/>
      <c r="F85" s="7"/>
    </row>
    <row r="86" spans="2:6">
      <c r="B86" s="7"/>
      <c r="F86" s="7"/>
    </row>
    <row r="87" spans="2:6">
      <c r="B87" s="7"/>
      <c r="F87" s="7"/>
    </row>
    <row r="88" spans="2:6">
      <c r="B88" s="7"/>
      <c r="F88" s="7"/>
    </row>
    <row r="89" spans="2:6">
      <c r="B89" s="7"/>
      <c r="F89" s="7"/>
    </row>
    <row r="90" spans="2:6">
      <c r="B90" s="7"/>
      <c r="F90" s="7"/>
    </row>
    <row r="91" spans="2:6">
      <c r="B91" s="7"/>
      <c r="F91" s="7"/>
    </row>
    <row r="92" spans="2:6">
      <c r="B92" s="7"/>
      <c r="F92" s="7"/>
    </row>
    <row r="93" spans="2:6">
      <c r="B93" s="7"/>
      <c r="F93" s="7"/>
    </row>
    <row r="94" spans="2:6">
      <c r="B94" s="7"/>
      <c r="F94" s="7"/>
    </row>
    <row r="95" spans="2:6">
      <c r="B95" s="7"/>
      <c r="F95" s="7"/>
    </row>
    <row r="96" spans="2:6">
      <c r="B96" s="7"/>
      <c r="F96" s="7"/>
    </row>
    <row r="97" spans="2:6">
      <c r="B97" s="7"/>
      <c r="F97" s="7"/>
    </row>
    <row r="98" spans="2:6">
      <c r="B98" s="7"/>
      <c r="F98" s="7"/>
    </row>
    <row r="99" spans="2:6">
      <c r="B99" s="7"/>
      <c r="F99" s="7"/>
    </row>
    <row r="100" spans="2:6">
      <c r="B100" s="7"/>
      <c r="F100" s="7"/>
    </row>
    <row r="101" spans="2:6">
      <c r="B101" s="7"/>
      <c r="F101" s="7"/>
    </row>
    <row r="102" spans="2:6">
      <c r="B102" s="7"/>
      <c r="F102" s="7"/>
    </row>
    <row r="103" spans="2:6">
      <c r="B103" s="7"/>
      <c r="F103" s="7"/>
    </row>
    <row r="104" spans="2:6">
      <c r="B104" s="7"/>
      <c r="F104" s="7"/>
    </row>
    <row r="105" spans="2:6">
      <c r="B105" s="7"/>
      <c r="F105" s="7"/>
    </row>
    <row r="106" spans="2:6">
      <c r="B106" s="7"/>
      <c r="F106" s="7"/>
    </row>
    <row r="107" spans="2:6">
      <c r="B107" s="7"/>
      <c r="F107" s="7"/>
    </row>
    <row r="108" spans="2:6">
      <c r="B108" s="7"/>
      <c r="F108" s="7"/>
    </row>
    <row r="109" spans="2:6">
      <c r="B109" s="7"/>
      <c r="F109" s="7"/>
    </row>
    <row r="110" spans="2:6">
      <c r="B110" s="7"/>
      <c r="F110" s="7"/>
    </row>
    <row r="111" spans="2:6">
      <c r="B111" s="7"/>
      <c r="F111" s="7"/>
    </row>
    <row r="112" spans="2: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  <row r="736" spans="2:6">
      <c r="B736" s="7"/>
      <c r="F736" s="7"/>
    </row>
    <row r="737" spans="2:6">
      <c r="B737" s="7"/>
      <c r="F737" s="7"/>
    </row>
    <row r="738" spans="2:6">
      <c r="B738" s="7"/>
      <c r="F738" s="7"/>
    </row>
    <row r="739" spans="2:6">
      <c r="B739" s="7"/>
      <c r="F739" s="7"/>
    </row>
    <row r="740" spans="2:6">
      <c r="B740" s="7"/>
      <c r="F740" s="7"/>
    </row>
    <row r="741" spans="2:6">
      <c r="B741" s="7"/>
      <c r="F741" s="7"/>
    </row>
    <row r="742" spans="2:6">
      <c r="B742" s="7"/>
      <c r="F742" s="7"/>
    </row>
    <row r="743" spans="2:6">
      <c r="B743" s="7"/>
      <c r="F743" s="7"/>
    </row>
    <row r="744" spans="2:6">
      <c r="B744" s="7"/>
      <c r="F744" s="7"/>
    </row>
    <row r="745" spans="2:6">
      <c r="B745" s="7"/>
      <c r="F745" s="7"/>
    </row>
    <row r="746" spans="2:6">
      <c r="B746" s="7"/>
      <c r="F746" s="7"/>
    </row>
    <row r="747" spans="2:6">
      <c r="B747" s="7"/>
      <c r="F747" s="7"/>
    </row>
    <row r="748" spans="2:6">
      <c r="B748" s="7"/>
      <c r="F748" s="7"/>
    </row>
    <row r="749" spans="2:6">
      <c r="B749" s="7"/>
      <c r="F749" s="7"/>
    </row>
    <row r="750" spans="2:6">
      <c r="B750" s="7"/>
      <c r="F750" s="7"/>
    </row>
    <row r="751" spans="2:6">
      <c r="B751" s="7"/>
      <c r="F751" s="7"/>
    </row>
    <row r="752" spans="2:6">
      <c r="B752" s="7"/>
      <c r="F752" s="7"/>
    </row>
    <row r="753" spans="2:6">
      <c r="B753" s="7"/>
      <c r="F753" s="7"/>
    </row>
    <row r="754" spans="2:6">
      <c r="B754" s="7"/>
      <c r="F754" s="7"/>
    </row>
    <row r="755" spans="2:6">
      <c r="B755" s="7"/>
      <c r="F755" s="7"/>
    </row>
    <row r="756" spans="2:6">
      <c r="B756" s="7"/>
      <c r="F756" s="7"/>
    </row>
    <row r="757" spans="2:6">
      <c r="B757" s="7"/>
      <c r="F757" s="7"/>
    </row>
    <row r="758" spans="2:6">
      <c r="B758" s="7"/>
      <c r="F758" s="7"/>
    </row>
    <row r="759" spans="2:6">
      <c r="B759" s="7"/>
      <c r="F759" s="7"/>
    </row>
    <row r="760" spans="2:6">
      <c r="B760" s="7"/>
      <c r="F760" s="7"/>
    </row>
    <row r="761" spans="2:6">
      <c r="B761" s="7"/>
      <c r="F761" s="7"/>
    </row>
    <row r="762" spans="2:6">
      <c r="B762" s="7"/>
      <c r="F762" s="7"/>
    </row>
    <row r="763" spans="2:6">
      <c r="B763" s="7"/>
      <c r="F763" s="7"/>
    </row>
    <row r="764" spans="2:6">
      <c r="B764" s="7"/>
      <c r="F764" s="7"/>
    </row>
    <row r="765" spans="2:6">
      <c r="B765" s="7"/>
      <c r="F765" s="7"/>
    </row>
    <row r="766" spans="2:6">
      <c r="B766" s="7"/>
      <c r="F766" s="7"/>
    </row>
    <row r="767" spans="2:6">
      <c r="B767" s="7"/>
      <c r="F767" s="7"/>
    </row>
    <row r="768" spans="2:6">
      <c r="B768" s="7"/>
      <c r="F768" s="7"/>
    </row>
    <row r="769" spans="2:6">
      <c r="B769" s="7"/>
      <c r="F769" s="7"/>
    </row>
    <row r="770" spans="2:6">
      <c r="B770" s="7"/>
      <c r="F770" s="7"/>
    </row>
    <row r="771" spans="2:6">
      <c r="B771" s="7"/>
      <c r="F771" s="7"/>
    </row>
    <row r="772" spans="2:6">
      <c r="B772" s="7"/>
      <c r="F772" s="7"/>
    </row>
    <row r="773" spans="2:6">
      <c r="B773" s="7"/>
      <c r="F773" s="7"/>
    </row>
    <row r="774" spans="2:6">
      <c r="B774" s="7"/>
      <c r="F774" s="7"/>
    </row>
    <row r="775" spans="2:6">
      <c r="B775" s="7"/>
      <c r="F775" s="7"/>
    </row>
    <row r="776" spans="2:6">
      <c r="B776" s="7"/>
      <c r="F776" s="7"/>
    </row>
    <row r="777" spans="2:6">
      <c r="B777" s="7"/>
      <c r="F777" s="7"/>
    </row>
    <row r="778" spans="2:6">
      <c r="B778" s="7"/>
      <c r="F778" s="7"/>
    </row>
    <row r="779" spans="2:6">
      <c r="B779" s="7"/>
      <c r="F779" s="7"/>
    </row>
    <row r="780" spans="2:6">
      <c r="B780" s="7"/>
      <c r="F780" s="7"/>
    </row>
    <row r="781" spans="2:6">
      <c r="B781" s="7"/>
      <c r="F781" s="7"/>
    </row>
    <row r="782" spans="2:6">
      <c r="B782" s="7"/>
      <c r="F782" s="7"/>
    </row>
    <row r="783" spans="2:6">
      <c r="B783" s="7"/>
      <c r="F783" s="7"/>
    </row>
    <row r="784" spans="2:6">
      <c r="B784" s="7"/>
      <c r="F784" s="7"/>
    </row>
    <row r="785" spans="2:6">
      <c r="B785" s="7"/>
      <c r="F785" s="7"/>
    </row>
    <row r="786" spans="2:6">
      <c r="B786" s="7"/>
      <c r="F786" s="7"/>
    </row>
    <row r="787" spans="2:6">
      <c r="B787" s="7"/>
      <c r="F787" s="7"/>
    </row>
    <row r="788" spans="2:6">
      <c r="B788" s="7"/>
      <c r="F788" s="7"/>
    </row>
    <row r="789" spans="2:6">
      <c r="B789" s="7"/>
      <c r="F789" s="7"/>
    </row>
    <row r="790" spans="2:6">
      <c r="B790" s="7"/>
      <c r="F790" s="7"/>
    </row>
    <row r="791" spans="2:6">
      <c r="B791" s="7"/>
      <c r="F791" s="7"/>
    </row>
    <row r="792" spans="2:6">
      <c r="B792" s="7"/>
      <c r="F792" s="7"/>
    </row>
    <row r="793" spans="2:6">
      <c r="B793" s="7"/>
      <c r="F793" s="7"/>
    </row>
    <row r="794" spans="2:6">
      <c r="B794" s="7"/>
      <c r="F794" s="7"/>
    </row>
    <row r="795" spans="2:6">
      <c r="B795" s="7"/>
      <c r="F795" s="7"/>
    </row>
    <row r="796" spans="2:6">
      <c r="B796" s="7"/>
      <c r="F796" s="7"/>
    </row>
    <row r="797" spans="2:6">
      <c r="B797" s="7"/>
      <c r="F797" s="7"/>
    </row>
    <row r="798" spans="2:6">
      <c r="B798" s="7"/>
      <c r="F798" s="7"/>
    </row>
    <row r="799" spans="2:6">
      <c r="B799" s="7"/>
      <c r="F799" s="7"/>
    </row>
    <row r="800" spans="2:6">
      <c r="B800" s="7"/>
      <c r="F800" s="7"/>
    </row>
    <row r="801" spans="2:6">
      <c r="B801" s="7"/>
      <c r="F801" s="7"/>
    </row>
    <row r="802" spans="2:6">
      <c r="B802" s="7"/>
      <c r="F802" s="7"/>
    </row>
    <row r="803" spans="2:6">
      <c r="B803" s="7"/>
      <c r="F803" s="7"/>
    </row>
    <row r="804" spans="2:6">
      <c r="B804" s="7"/>
      <c r="F804" s="7"/>
    </row>
    <row r="805" spans="2:6">
      <c r="B805" s="7"/>
      <c r="F805" s="7"/>
    </row>
    <row r="806" spans="2:6">
      <c r="B806" s="7"/>
      <c r="F806" s="7"/>
    </row>
    <row r="807" spans="2:6">
      <c r="B807" s="7"/>
      <c r="F807" s="7"/>
    </row>
    <row r="808" spans="2:6">
      <c r="B808" s="7"/>
      <c r="F808" s="7"/>
    </row>
    <row r="809" spans="2:6">
      <c r="B809" s="7"/>
      <c r="F809" s="7"/>
    </row>
    <row r="810" spans="2:6">
      <c r="B810" s="7"/>
      <c r="F810" s="7"/>
    </row>
    <row r="811" spans="2:6">
      <c r="B811" s="7"/>
      <c r="F811" s="7"/>
    </row>
    <row r="812" spans="2:6">
      <c r="B812" s="7"/>
      <c r="F812" s="7"/>
    </row>
    <row r="813" spans="2:6">
      <c r="B813" s="7"/>
      <c r="F813" s="7"/>
    </row>
    <row r="814" spans="2:6">
      <c r="B814" s="7"/>
      <c r="F814" s="7"/>
    </row>
    <row r="815" spans="2:6">
      <c r="B815" s="7"/>
      <c r="F815" s="7"/>
    </row>
    <row r="816" spans="2:6">
      <c r="B816" s="7"/>
      <c r="F816" s="7"/>
    </row>
    <row r="817" spans="2:6">
      <c r="B817" s="7"/>
      <c r="F817" s="7"/>
    </row>
    <row r="818" spans="2:6">
      <c r="B818" s="7"/>
      <c r="F818" s="7"/>
    </row>
    <row r="819" spans="2:6">
      <c r="B819" s="7"/>
      <c r="F819" s="7"/>
    </row>
    <row r="820" spans="2:6">
      <c r="B820" s="7"/>
      <c r="F820" s="7"/>
    </row>
    <row r="821" spans="2:6">
      <c r="B821" s="7"/>
      <c r="F821" s="7"/>
    </row>
    <row r="822" spans="2:6">
      <c r="B822" s="7"/>
      <c r="F822" s="7"/>
    </row>
    <row r="823" spans="2:6">
      <c r="B823" s="7"/>
      <c r="F823" s="7"/>
    </row>
    <row r="824" spans="2:6">
      <c r="B824" s="7"/>
      <c r="F824" s="7"/>
    </row>
    <row r="825" spans="2:6">
      <c r="B825" s="7"/>
      <c r="F825" s="7"/>
    </row>
    <row r="826" spans="2:6">
      <c r="B826" s="7"/>
      <c r="F826" s="7"/>
    </row>
    <row r="827" spans="2:6">
      <c r="B827" s="7"/>
      <c r="F827" s="7"/>
    </row>
    <row r="828" spans="2:6">
      <c r="B828" s="7"/>
      <c r="F828" s="7"/>
    </row>
    <row r="829" spans="2:6">
      <c r="B829" s="7"/>
      <c r="F829" s="7"/>
    </row>
    <row r="830" spans="2:6">
      <c r="B830" s="7"/>
      <c r="F830" s="7"/>
    </row>
    <row r="831" spans="2:6">
      <c r="B831" s="7"/>
      <c r="F831" s="7"/>
    </row>
  </sheetData>
  <phoneticPr fontId="7" type="noConversion"/>
  <hyperlinks>
    <hyperlink ref="P26" r:id="rId1" display="http://var.astro.cz/oejv/issues/oejv0074.pdf"/>
    <hyperlink ref="P27" r:id="rId2" display="http://www.bav-astro.de/sfs/BAVM_link.php?BAVMnr=193"/>
    <hyperlink ref="P12" r:id="rId3" display="http://www.konkoly.hu/cgi-bin/IBVS?59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2024-03-05T05:49:06Z</dcterms:modified>
</cp:coreProperties>
</file>