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CA5F6E7-4FB4-4B17-9D8E-B9D6244F0E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0" i="1"/>
  <c r="Q31" i="1"/>
  <c r="G15" i="2"/>
  <c r="C15" i="2"/>
  <c r="G17" i="2"/>
  <c r="C17" i="2"/>
  <c r="G16" i="2"/>
  <c r="C16" i="2"/>
  <c r="E16" i="2"/>
  <c r="G14" i="2"/>
  <c r="C14" i="2"/>
  <c r="G13" i="2"/>
  <c r="C13" i="2"/>
  <c r="G12" i="2"/>
  <c r="C12" i="2"/>
  <c r="G11" i="2"/>
  <c r="C11" i="2"/>
  <c r="H15" i="2"/>
  <c r="D15" i="2"/>
  <c r="B15" i="2"/>
  <c r="A15" i="2"/>
  <c r="H17" i="2"/>
  <c r="B17" i="2"/>
  <c r="D17" i="2"/>
  <c r="A17" i="2"/>
  <c r="H16" i="2"/>
  <c r="D16" i="2"/>
  <c r="B16" i="2"/>
  <c r="A16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7" i="1"/>
  <c r="C17" i="1"/>
  <c r="Q32" i="1"/>
  <c r="Q22" i="1"/>
  <c r="C21" i="1"/>
  <c r="E21" i="1"/>
  <c r="F21" i="1"/>
  <c r="G21" i="1"/>
  <c r="H21" i="1"/>
  <c r="Q23" i="1"/>
  <c r="Q24" i="1"/>
  <c r="Q25" i="1"/>
  <c r="Q26" i="1"/>
  <c r="Q27" i="1"/>
  <c r="Q29" i="1"/>
  <c r="Q28" i="1"/>
  <c r="C7" i="1"/>
  <c r="E30" i="1"/>
  <c r="F30" i="1"/>
  <c r="Q21" i="1"/>
  <c r="E32" i="1"/>
  <c r="F32" i="1"/>
  <c r="G32" i="1"/>
  <c r="I32" i="1"/>
  <c r="E22" i="1"/>
  <c r="F22" i="1"/>
  <c r="E27" i="1"/>
  <c r="F27" i="1"/>
  <c r="G31" i="1"/>
  <c r="I31" i="1"/>
  <c r="E24" i="1"/>
  <c r="F24" i="1"/>
  <c r="G24" i="1"/>
  <c r="I24" i="1"/>
  <c r="E29" i="1"/>
  <c r="F29" i="1"/>
  <c r="G29" i="1"/>
  <c r="I29" i="1"/>
  <c r="E31" i="1"/>
  <c r="F31" i="1"/>
  <c r="E26" i="1"/>
  <c r="F26" i="1"/>
  <c r="G26" i="1"/>
  <c r="I26" i="1"/>
  <c r="E23" i="1"/>
  <c r="F23" i="1"/>
  <c r="G23" i="1"/>
  <c r="I23" i="1"/>
  <c r="G30" i="1"/>
  <c r="I30" i="1"/>
  <c r="E28" i="1"/>
  <c r="F28" i="1"/>
  <c r="G28" i="1"/>
  <c r="I28" i="1"/>
  <c r="G22" i="1"/>
  <c r="G27" i="1"/>
  <c r="I27" i="1"/>
  <c r="E25" i="1"/>
  <c r="F25" i="1"/>
  <c r="G25" i="1"/>
  <c r="I25" i="1"/>
  <c r="E14" i="2"/>
  <c r="E13" i="2"/>
  <c r="E12" i="2"/>
  <c r="E15" i="2"/>
  <c r="I22" i="1"/>
  <c r="E11" i="2"/>
  <c r="E17" i="2"/>
  <c r="C11" i="1"/>
  <c r="C12" i="1"/>
  <c r="C16" i="1" l="1"/>
  <c r="D18" i="1" s="1"/>
  <c r="O28" i="1"/>
  <c r="O29" i="1"/>
  <c r="O31" i="1"/>
  <c r="O21" i="1"/>
  <c r="O30" i="1"/>
  <c r="O22" i="1"/>
  <c r="O32" i="1"/>
  <c r="O23" i="1"/>
  <c r="O24" i="1"/>
  <c r="C15" i="1"/>
  <c r="F18" i="1" s="1"/>
  <c r="O25" i="1"/>
  <c r="O26" i="1"/>
  <c r="O27" i="1"/>
  <c r="C18" i="1" l="1"/>
  <c r="F19" i="1"/>
</calcChain>
</file>

<file path=xl/sharedStrings.xml><?xml version="1.0" encoding="utf-8"?>
<sst xmlns="http://schemas.openxmlformats.org/spreadsheetml/2006/main" count="132" uniqueCount="88">
  <si>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</si>
  <si>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</si>
  <si>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</si>
  <si>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</si>
  <si>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</si>
  <si>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</si>
  <si>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</si>
  <si>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</si>
  <si>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</si>
  <si>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</si>
  <si>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</si>
  <si>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</si>
  <si>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</si>
  <si>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</si>
  <si>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</si>
  <si>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</si>
  <si>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</si>
  <si>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</si>
  <si>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</si>
  <si>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</si>
  <si>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</si>
  <si>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</si>
  <si>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</si>
  <si>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</si>
  <si>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</si>
  <si>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</si>
  <si>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</si>
  <si>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</si>
  <si>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</si>
  <si>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</si>
  <si>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EW</t>
  </si>
  <si>
    <t>IBVS 5583</t>
  </si>
  <si>
    <t>I</t>
  </si>
  <si>
    <t>II</t>
  </si>
  <si>
    <t>IBVS 5399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</si>
  <si>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</si>
  <si>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</si>
  <si>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</si>
  <si>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</si>
  <si>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</si>
  <si>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</si>
  <si>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5945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</si>
  <si>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</si>
  <si>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</si>
  <si>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</si>
  <si>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</si>
  <si>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</si>
  <si>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</si>
  <si>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</si>
  <si>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</si>
  <si>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</si>
  <si>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</si>
  <si>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</si>
  <si>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</si>
  <si>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2452437.4896 </t>
  </si>
  <si>
    <t> 11.06.2002 23:45 </t>
  </si>
  <si>
    <t> -0.1053 </t>
  </si>
  <si>
    <t>E </t>
  </si>
  <si>
    <t>?</t>
  </si>
  <si>
    <t> M.Zejda </t>
  </si>
  <si>
    <t>IBVS 5583 </t>
  </si>
  <si>
    <t>2452474.3912 </t>
  </si>
  <si>
    <t> 18.07.2002 21:23 </t>
  </si>
  <si>
    <t> -0.1107 </t>
  </si>
  <si>
    <t> V.Bakis et al. </t>
  </si>
  <si>
    <t>IBVS 5399 </t>
  </si>
  <si>
    <t>2452492.4582 </t>
  </si>
  <si>
    <t> 05.08.2002 22:59 </t>
  </si>
  <si>
    <t> -0.1046 </t>
  </si>
  <si>
    <t>R</t>
  </si>
  <si>
    <t>2452878.4107 </t>
  </si>
  <si>
    <t> 26.08.2003 21:51 </t>
  </si>
  <si>
    <t> -0.1056 </t>
  </si>
  <si>
    <t>2453251.4037 </t>
  </si>
  <si>
    <t> 02.09.2004 21:41 </t>
  </si>
  <si>
    <t> -0.1093 </t>
  </si>
  <si>
    <t> M. Zejda et al. </t>
  </si>
  <si>
    <t>IBVS 5741 </t>
  </si>
  <si>
    <t>2453255.3304 </t>
  </si>
  <si>
    <t> 06.09.2004 19:55 </t>
  </si>
  <si>
    <t> -0.1089 </t>
  </si>
  <si>
    <t>2455339.7765 </t>
  </si>
  <si>
    <t> 23.05.2010 06:38 </t>
  </si>
  <si>
    <t> -0.1257 </t>
  </si>
  <si>
    <t>C </t>
  </si>
  <si>
    <t> R.Diethelm </t>
  </si>
  <si>
    <t>IBVS 5945 </t>
  </si>
  <si>
    <t>XY Sct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</si>
</sst>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Sct - O-C Diagr.</a:t>
            </a:r>
          </a:p>
        </c:rich>
      </c:tx>
      <c:layout>
        <c:manualLayout>
          <c:xMode val="edge"/>
          <c:yMode val="edge"/>
          <c:x val="0.3828759450302960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3-4FA7-A25E-F73E0A885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-0.10528144999989308</c:v>
                </c:pt>
                <c:pt idx="2">
                  <c:v>-0.11072754999622703</c:v>
                </c:pt>
                <c:pt idx="3">
                  <c:v>-0.10482244999730028</c:v>
                </c:pt>
                <c:pt idx="4">
                  <c:v>-0.10462244999507675</c:v>
                </c:pt>
                <c:pt idx="5">
                  <c:v>-0.10442244999285322</c:v>
                </c:pt>
                <c:pt idx="6">
                  <c:v>-0.10629389999667183</c:v>
                </c:pt>
                <c:pt idx="7">
                  <c:v>-0.10619389999919804</c:v>
                </c:pt>
                <c:pt idx="8">
                  <c:v>-0.1055938999998034</c:v>
                </c:pt>
                <c:pt idx="9">
                  <c:v>-0.10933639999711886</c:v>
                </c:pt>
                <c:pt idx="10">
                  <c:v>-0.10891790000459878</c:v>
                </c:pt>
                <c:pt idx="11">
                  <c:v>-0.12566625000181375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3-4FA7-A25E-F73E0A8856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53-4FA7-A25E-F73E0A8856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53-4FA7-A25E-F73E0A8856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53-4FA7-A25E-F73E0A885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53-4FA7-A25E-F73E0A885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3.3999999999999998E-3</c:v>
                  </c:pt>
                  <c:pt idx="5">
                    <c:v>3.3999999999999998E-3</c:v>
                  </c:pt>
                  <c:pt idx="6">
                    <c:v>2.7000000000000001E-3</c:v>
                  </c:pt>
                  <c:pt idx="7">
                    <c:v>2.8E-3</c:v>
                  </c:pt>
                  <c:pt idx="8">
                    <c:v>2.5999999999999999E-3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53-4FA7-A25E-F73E0A885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30191.5</c:v>
                </c:pt>
                <c:pt idx="2">
                  <c:v>30238.5</c:v>
                </c:pt>
                <c:pt idx="3">
                  <c:v>30261.5</c:v>
                </c:pt>
                <c:pt idx="4">
                  <c:v>30261.5</c:v>
                </c:pt>
                <c:pt idx="5">
                  <c:v>30261.5</c:v>
                </c:pt>
                <c:pt idx="6">
                  <c:v>30753</c:v>
                </c:pt>
                <c:pt idx="7">
                  <c:v>30753</c:v>
                </c:pt>
                <c:pt idx="8">
                  <c:v>30753</c:v>
                </c:pt>
                <c:pt idx="9">
                  <c:v>31228</c:v>
                </c:pt>
                <c:pt idx="10">
                  <c:v>31233</c:v>
                </c:pt>
                <c:pt idx="11">
                  <c:v>33887.5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5.7410065257955389E-2</c:v>
                </c:pt>
                <c:pt idx="1">
                  <c:v>-0.10458903600359945</c:v>
                </c:pt>
                <c:pt idx="2">
                  <c:v>-0.10484122479048624</c:v>
                </c:pt>
                <c:pt idx="3">
                  <c:v>-0.10496463632449468</c:v>
                </c:pt>
                <c:pt idx="4">
                  <c:v>-0.10496463632449468</c:v>
                </c:pt>
                <c:pt idx="5">
                  <c:v>-0.10496463632449468</c:v>
                </c:pt>
                <c:pt idx="6">
                  <c:v>-0.10760188714906632</c:v>
                </c:pt>
                <c:pt idx="7">
                  <c:v>-0.10760188714906632</c:v>
                </c:pt>
                <c:pt idx="8">
                  <c:v>-0.10760188714906632</c:v>
                </c:pt>
                <c:pt idx="9">
                  <c:v>-0.11015060361228404</c:v>
                </c:pt>
                <c:pt idx="10">
                  <c:v>-0.1101774322066337</c:v>
                </c:pt>
                <c:pt idx="11">
                  <c:v>-0.12442073294686845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53-4FA7-A25E-F73E0A885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10440"/>
        <c:axId val="1"/>
      </c:scatterChart>
      <c:valAx>
        <c:axId val="68201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204921861831491"/>
          <c:w val="0.7237484894355896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28575</xdr:rowOff>
    </xdr:from>
    <xdr:to>
      <xdr:col>16</xdr:col>
      <xdr:colOff>352425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CE8981-B7A0-3BC3-9527-CE84BD549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konkoly.hu/cgi-bin/IBVS?5399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71093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s="27" customFormat="1" ht="20.25" x14ac:dyDescent="0.2">
      <c r="A1" s="52" t="s">
        <v>87</v>
      </c>
    </row>
    <row r="2" spans="1:5" s="27" customFormat="1" ht="12.95" customHeight="1" x14ac:dyDescent="0.2">
      <c r="A2" s="27" t="s">
        <v>25</v>
      </c>
      <c r="B2" s="27" t="s">
        <v>30</v>
      </c>
    </row>
    <row r="3" spans="1:5" s="27" customFormat="1" ht="12.95" customHeight="1" x14ac:dyDescent="0.2"/>
    <row r="4" spans="1:5" s="27" customFormat="1" ht="12.95" customHeight="1" thickTop="1" thickBot="1" x14ac:dyDescent="0.25">
      <c r="A4" s="28" t="s">
        <v>0</v>
      </c>
      <c r="C4" s="29">
        <v>28729.529299999998</v>
      </c>
      <c r="D4" s="30">
        <v>0.78525630000000002</v>
      </c>
    </row>
    <row r="5" spans="1:5" s="27" customFormat="1" ht="12.95" customHeight="1" thickTop="1" x14ac:dyDescent="0.2">
      <c r="A5" s="31" t="s">
        <v>36</v>
      </c>
      <c r="C5" s="32">
        <v>-9.5</v>
      </c>
      <c r="D5" s="27" t="s">
        <v>37</v>
      </c>
    </row>
    <row r="6" spans="1:5" s="27" customFormat="1" ht="12.95" customHeight="1" x14ac:dyDescent="0.2">
      <c r="A6" s="28" t="s">
        <v>1</v>
      </c>
    </row>
    <row r="7" spans="1:5" s="27" customFormat="1" ht="12.95" customHeight="1" x14ac:dyDescent="0.2">
      <c r="A7" s="27" t="s">
        <v>2</v>
      </c>
      <c r="C7" s="27">
        <f>+C4</f>
        <v>28729.529299999998</v>
      </c>
    </row>
    <row r="8" spans="1:5" s="27" customFormat="1" ht="12.95" customHeight="1" x14ac:dyDescent="0.2">
      <c r="A8" s="27" t="s">
        <v>3</v>
      </c>
      <c r="C8" s="33">
        <v>0.78525630000000002</v>
      </c>
    </row>
    <row r="9" spans="1:5" s="27" customFormat="1" ht="12.95" customHeight="1" x14ac:dyDescent="0.2">
      <c r="A9" s="34" t="s">
        <v>42</v>
      </c>
      <c r="B9" s="35">
        <v>22</v>
      </c>
      <c r="C9" s="36" t="str">
        <f>"F"&amp;B9</f>
        <v>F22</v>
      </c>
      <c r="D9" s="37" t="str">
        <f>"G"&amp;B9</f>
        <v>G22</v>
      </c>
    </row>
    <row r="10" spans="1:5" s="27" customFormat="1" ht="12.95" customHeight="1" thickBot="1" x14ac:dyDescent="0.25">
      <c r="C10" s="38" t="s">
        <v>21</v>
      </c>
      <c r="D10" s="38" t="s">
        <v>22</v>
      </c>
    </row>
    <row r="11" spans="1:5" s="27" customFormat="1" ht="12.95" customHeight="1" x14ac:dyDescent="0.2">
      <c r="A11" s="27" t="s">
        <v>16</v>
      </c>
      <c r="C11" s="37">
        <f ca="1">INTERCEPT(INDIRECT($D$9):G992,INDIRECT($C$9):F992)</f>
        <v>5.7410065257955389E-2</v>
      </c>
      <c r="D11" s="39"/>
    </row>
    <row r="12" spans="1:5" s="27" customFormat="1" ht="12.95" customHeight="1" x14ac:dyDescent="0.2">
      <c r="A12" s="27" t="s">
        <v>17</v>
      </c>
      <c r="C12" s="37">
        <f ca="1">SLOPE(INDIRECT($D$9):G992,INDIRECT($C$9):F992)</f>
        <v>-5.3657188699320944E-6</v>
      </c>
      <c r="D12" s="39"/>
    </row>
    <row r="13" spans="1:5" s="27" customFormat="1" ht="12.95" customHeight="1" x14ac:dyDescent="0.2">
      <c r="A13" s="27" t="s">
        <v>20</v>
      </c>
      <c r="C13" s="39" t="s">
        <v>14</v>
      </c>
    </row>
    <row r="14" spans="1:5" s="27" customFormat="1" ht="12.95" customHeight="1" x14ac:dyDescent="0.2"/>
    <row r="15" spans="1:5" s="27" customFormat="1" ht="12.95" customHeight="1" x14ac:dyDescent="0.2">
      <c r="A15" s="40" t="s">
        <v>18</v>
      </c>
      <c r="C15" s="41">
        <f ca="1">(C7+C11)+(C8+C12)*INT(MAX(F21:F3533))</f>
        <v>55339.385120049919</v>
      </c>
      <c r="E15" s="39"/>
    </row>
    <row r="16" spans="1:5" s="27" customFormat="1" ht="12.95" customHeight="1" x14ac:dyDescent="0.2">
      <c r="A16" s="28" t="s">
        <v>4</v>
      </c>
      <c r="C16" s="42">
        <f ca="1">+C8+C12</f>
        <v>0.78525093428113013</v>
      </c>
    </row>
    <row r="17" spans="1:17" s="27" customFormat="1" ht="12.95" customHeight="1" thickBot="1" x14ac:dyDescent="0.25">
      <c r="A17" s="43" t="s">
        <v>35</v>
      </c>
      <c r="C17" s="27">
        <f>COUNT(C21:C2191)</f>
        <v>12</v>
      </c>
      <c r="E17" s="43" t="s">
        <v>38</v>
      </c>
      <c r="F17" s="44">
        <f ca="1">TODAY()+15018.5-B5/24</f>
        <v>60374.5</v>
      </c>
    </row>
    <row r="18" spans="1:17" s="27" customFormat="1" ht="12.95" customHeight="1" thickTop="1" thickBot="1" x14ac:dyDescent="0.25">
      <c r="A18" s="28" t="s">
        <v>5</v>
      </c>
      <c r="C18" s="29">
        <f ca="1">+C15</f>
        <v>55339.385120049919</v>
      </c>
      <c r="D18" s="30">
        <f ca="1">+C16</f>
        <v>0.78525093428113013</v>
      </c>
      <c r="E18" s="43" t="s">
        <v>39</v>
      </c>
      <c r="F18" s="44">
        <f ca="1">ROUND(2*(F17-C15)/C16,0)/2+1</f>
        <v>6413</v>
      </c>
    </row>
    <row r="19" spans="1:17" s="27" customFormat="1" ht="12.95" customHeight="1" thickTop="1" x14ac:dyDescent="0.2">
      <c r="E19" s="43" t="s">
        <v>40</v>
      </c>
      <c r="F19" s="45">
        <f ca="1">+C15+C16*F18-15018.5-C5/24</f>
        <v>45357.095194928144</v>
      </c>
    </row>
    <row r="20" spans="1:17" s="27" customFormat="1" ht="12.95" customHeight="1" thickBot="1" x14ac:dyDescent="0.25">
      <c r="A20" s="38" t="s">
        <v>6</v>
      </c>
      <c r="B20" s="38" t="s">
        <v>7</v>
      </c>
      <c r="C20" s="38" t="s">
        <v>8</v>
      </c>
      <c r="D20" s="38" t="s">
        <v>13</v>
      </c>
      <c r="E20" s="38" t="s">
        <v>9</v>
      </c>
      <c r="F20" s="38" t="s">
        <v>10</v>
      </c>
      <c r="G20" s="38" t="s">
        <v>11</v>
      </c>
      <c r="H20" s="46" t="s">
        <v>12</v>
      </c>
      <c r="I20" s="46" t="s">
        <v>45</v>
      </c>
      <c r="J20" s="46" t="s">
        <v>19</v>
      </c>
      <c r="K20" s="46" t="s">
        <v>26</v>
      </c>
      <c r="L20" s="46" t="s">
        <v>27</v>
      </c>
      <c r="M20" s="46" t="s">
        <v>28</v>
      </c>
      <c r="N20" s="46" t="s">
        <v>29</v>
      </c>
      <c r="O20" s="46" t="s">
        <v>24</v>
      </c>
      <c r="P20" s="47" t="s">
        <v>23</v>
      </c>
      <c r="Q20" s="38" t="s">
        <v>15</v>
      </c>
    </row>
    <row r="21" spans="1:17" s="27" customFormat="1" ht="12.95" customHeight="1" x14ac:dyDescent="0.2">
      <c r="A21" s="27" t="s">
        <v>12</v>
      </c>
      <c r="B21" s="39"/>
      <c r="C21" s="48">
        <f>+C4</f>
        <v>28729.529299999998</v>
      </c>
      <c r="D21" s="48" t="s">
        <v>14</v>
      </c>
      <c r="E21" s="27">
        <f t="shared" ref="E21:E32" si="0">+(C21-C$7)/C$8</f>
        <v>0</v>
      </c>
      <c r="F21" s="27">
        <f t="shared" ref="F21:F32" si="1">ROUND(2*E21,0)/2</f>
        <v>0</v>
      </c>
      <c r="G21" s="27">
        <f t="shared" ref="G21:G32" si="2">+C21-(C$7+F21*C$8)</f>
        <v>0</v>
      </c>
      <c r="H21" s="27">
        <f>+G21</f>
        <v>0</v>
      </c>
      <c r="O21" s="27">
        <f t="shared" ref="O21:O32" ca="1" si="3">+C$11+C$12*$F21</f>
        <v>5.7410065257955389E-2</v>
      </c>
      <c r="Q21" s="49">
        <f t="shared" ref="Q21:Q32" si="4">+C21-15018.5</f>
        <v>13711.029299999998</v>
      </c>
    </row>
    <row r="22" spans="1:17" s="27" customFormat="1" ht="12.95" customHeight="1" x14ac:dyDescent="0.2">
      <c r="A22" s="4" t="s">
        <v>31</v>
      </c>
      <c r="B22" s="5" t="s">
        <v>32</v>
      </c>
      <c r="C22" s="4">
        <v>52437.489600000001</v>
      </c>
      <c r="D22" s="4">
        <v>2E-3</v>
      </c>
      <c r="E22" s="27">
        <f t="shared" si="0"/>
        <v>30191.365927277504</v>
      </c>
      <c r="F22" s="27">
        <f t="shared" si="1"/>
        <v>30191.5</v>
      </c>
      <c r="G22" s="27">
        <f t="shared" si="2"/>
        <v>-0.10528144999989308</v>
      </c>
      <c r="I22" s="27">
        <f t="shared" ref="I22:I32" si="5">+G22</f>
        <v>-0.10528144999989308</v>
      </c>
      <c r="O22" s="27">
        <f t="shared" ca="1" si="3"/>
        <v>-0.10458903600359945</v>
      </c>
      <c r="Q22" s="49">
        <f t="shared" si="4"/>
        <v>37418.989600000001</v>
      </c>
    </row>
    <row r="23" spans="1:17" s="27" customFormat="1" ht="12.95" customHeight="1" x14ac:dyDescent="0.2">
      <c r="A23" s="27" t="s">
        <v>34</v>
      </c>
      <c r="B23" s="39" t="s">
        <v>33</v>
      </c>
      <c r="C23" s="48">
        <v>52474.391199999998</v>
      </c>
      <c r="D23" s="50">
        <v>2.9999999999999997E-4</v>
      </c>
      <c r="E23" s="27">
        <f t="shared" si="0"/>
        <v>30238.358991834895</v>
      </c>
      <c r="F23" s="27">
        <f t="shared" si="1"/>
        <v>30238.5</v>
      </c>
      <c r="G23" s="27">
        <f t="shared" si="2"/>
        <v>-0.11072754999622703</v>
      </c>
      <c r="I23" s="27">
        <f t="shared" si="5"/>
        <v>-0.11072754999622703</v>
      </c>
      <c r="O23" s="27">
        <f t="shared" ca="1" si="3"/>
        <v>-0.10484122479048624</v>
      </c>
      <c r="Q23" s="49">
        <f t="shared" si="4"/>
        <v>37455.891199999998</v>
      </c>
    </row>
    <row r="24" spans="1:17" s="27" customFormat="1" ht="12.95" customHeight="1" x14ac:dyDescent="0.2">
      <c r="A24" s="27" t="s">
        <v>31</v>
      </c>
      <c r="B24" s="51" t="s">
        <v>32</v>
      </c>
      <c r="C24" s="50">
        <v>52492.457999999999</v>
      </c>
      <c r="D24" s="50">
        <v>3.5999999999999999E-3</v>
      </c>
      <c r="E24" s="27">
        <f t="shared" si="0"/>
        <v>30261.366511800032</v>
      </c>
      <c r="F24" s="27">
        <f t="shared" si="1"/>
        <v>30261.5</v>
      </c>
      <c r="G24" s="27">
        <f t="shared" si="2"/>
        <v>-0.10482244999730028</v>
      </c>
      <c r="I24" s="27">
        <f t="shared" si="5"/>
        <v>-0.10482244999730028</v>
      </c>
      <c r="O24" s="27">
        <f t="shared" ca="1" si="3"/>
        <v>-0.10496463632449468</v>
      </c>
      <c r="Q24" s="49">
        <f t="shared" si="4"/>
        <v>37473.957999999999</v>
      </c>
    </row>
    <row r="25" spans="1:17" s="27" customFormat="1" ht="12.95" customHeight="1" x14ac:dyDescent="0.2">
      <c r="A25" s="27" t="s">
        <v>31</v>
      </c>
      <c r="B25" s="51" t="s">
        <v>32</v>
      </c>
      <c r="C25" s="50">
        <v>52492.458200000001</v>
      </c>
      <c r="D25" s="50">
        <v>3.3999999999999998E-3</v>
      </c>
      <c r="E25" s="27">
        <f t="shared" si="0"/>
        <v>30261.366766493949</v>
      </c>
      <c r="F25" s="27">
        <f t="shared" si="1"/>
        <v>30261.5</v>
      </c>
      <c r="G25" s="27">
        <f t="shared" si="2"/>
        <v>-0.10462244999507675</v>
      </c>
      <c r="I25" s="27">
        <f t="shared" si="5"/>
        <v>-0.10462244999507675</v>
      </c>
      <c r="O25" s="27">
        <f t="shared" ca="1" si="3"/>
        <v>-0.10496463632449468</v>
      </c>
      <c r="Q25" s="49">
        <f t="shared" si="4"/>
        <v>37473.958200000001</v>
      </c>
    </row>
    <row r="26" spans="1:17" s="27" customFormat="1" ht="12.95" customHeight="1" x14ac:dyDescent="0.2">
      <c r="A26" s="27" t="s">
        <v>31</v>
      </c>
      <c r="B26" s="51" t="s">
        <v>32</v>
      </c>
      <c r="C26" s="50">
        <v>52492.458400000003</v>
      </c>
      <c r="D26" s="50">
        <v>3.3999999999999998E-3</v>
      </c>
      <c r="E26" s="27">
        <f t="shared" si="0"/>
        <v>30261.367021187863</v>
      </c>
      <c r="F26" s="27">
        <f t="shared" si="1"/>
        <v>30261.5</v>
      </c>
      <c r="G26" s="27">
        <f t="shared" si="2"/>
        <v>-0.10442244999285322</v>
      </c>
      <c r="I26" s="27">
        <f t="shared" si="5"/>
        <v>-0.10442244999285322</v>
      </c>
      <c r="O26" s="27">
        <f t="shared" ca="1" si="3"/>
        <v>-0.10496463632449468</v>
      </c>
      <c r="Q26" s="49">
        <f t="shared" si="4"/>
        <v>37473.958400000003</v>
      </c>
    </row>
    <row r="27" spans="1:17" ht="13.7" customHeight="1" x14ac:dyDescent="0.2">
      <c r="A27" t="s">
        <v>31</v>
      </c>
      <c r="B27" s="3" t="s">
        <v>33</v>
      </c>
      <c r="C27" s="7">
        <v>52878.41</v>
      </c>
      <c r="D27" s="7">
        <v>2.7000000000000001E-3</v>
      </c>
      <c r="E27">
        <f t="shared" si="0"/>
        <v>30752.864637953244</v>
      </c>
      <c r="F27">
        <f t="shared" si="1"/>
        <v>30753</v>
      </c>
      <c r="G27">
        <f t="shared" si="2"/>
        <v>-0.10629389999667183</v>
      </c>
      <c r="I27">
        <f t="shared" si="5"/>
        <v>-0.10629389999667183</v>
      </c>
      <c r="O27">
        <f t="shared" ca="1" si="3"/>
        <v>-0.10760188714906632</v>
      </c>
      <c r="Q27" s="1">
        <f t="shared" si="4"/>
        <v>37859.910000000003</v>
      </c>
    </row>
    <row r="28" spans="1:17" ht="13.7" customHeight="1" x14ac:dyDescent="0.2">
      <c r="A28" t="s">
        <v>31</v>
      </c>
      <c r="B28" s="3" t="s">
        <v>33</v>
      </c>
      <c r="C28" s="7">
        <v>52878.410100000001</v>
      </c>
      <c r="D28" s="7">
        <v>2.8E-3</v>
      </c>
      <c r="E28">
        <f t="shared" si="0"/>
        <v>30752.864765300197</v>
      </c>
      <c r="F28">
        <f t="shared" si="1"/>
        <v>30753</v>
      </c>
      <c r="G28">
        <f t="shared" si="2"/>
        <v>-0.10619389999919804</v>
      </c>
      <c r="I28">
        <f t="shared" si="5"/>
        <v>-0.10619389999919804</v>
      </c>
      <c r="O28">
        <f t="shared" ca="1" si="3"/>
        <v>-0.10760188714906632</v>
      </c>
      <c r="Q28" s="1">
        <f t="shared" si="4"/>
        <v>37859.910100000001</v>
      </c>
    </row>
    <row r="29" spans="1:17" x14ac:dyDescent="0.2">
      <c r="A29" t="s">
        <v>31</v>
      </c>
      <c r="B29" s="3" t="s">
        <v>33</v>
      </c>
      <c r="C29" s="7">
        <v>52878.4107</v>
      </c>
      <c r="D29" s="7">
        <v>2.5999999999999999E-3</v>
      </c>
      <c r="E29">
        <f t="shared" si="0"/>
        <v>30752.865529381936</v>
      </c>
      <c r="F29">
        <f t="shared" si="1"/>
        <v>30753</v>
      </c>
      <c r="G29">
        <f t="shared" si="2"/>
        <v>-0.1055938999998034</v>
      </c>
      <c r="I29">
        <f t="shared" si="5"/>
        <v>-0.1055938999998034</v>
      </c>
      <c r="O29">
        <f t="shared" ca="1" si="3"/>
        <v>-0.10760188714906632</v>
      </c>
      <c r="Q29" s="1">
        <f t="shared" si="4"/>
        <v>37859.9107</v>
      </c>
    </row>
    <row r="30" spans="1:17" x14ac:dyDescent="0.2">
      <c r="A30" s="24" t="s">
        <v>77</v>
      </c>
      <c r="B30" s="25" t="s">
        <v>32</v>
      </c>
      <c r="C30" s="26">
        <v>53251.403700000003</v>
      </c>
      <c r="D30" s="6"/>
      <c r="E30">
        <f t="shared" si="0"/>
        <v>31227.860763422086</v>
      </c>
      <c r="F30">
        <f t="shared" si="1"/>
        <v>31228</v>
      </c>
      <c r="G30">
        <f t="shared" si="2"/>
        <v>-0.10933639999711886</v>
      </c>
      <c r="I30">
        <f t="shared" si="5"/>
        <v>-0.10933639999711886</v>
      </c>
      <c r="O30">
        <f t="shared" ca="1" si="3"/>
        <v>-0.11015060361228404</v>
      </c>
      <c r="Q30" s="1">
        <f t="shared" si="4"/>
        <v>38232.903700000003</v>
      </c>
    </row>
    <row r="31" spans="1:17" x14ac:dyDescent="0.2">
      <c r="A31" s="24" t="s">
        <v>77</v>
      </c>
      <c r="B31" s="25" t="s">
        <v>32</v>
      </c>
      <c r="C31" s="26">
        <v>53255.330399999999</v>
      </c>
      <c r="D31" s="6"/>
      <c r="E31">
        <f t="shared" si="0"/>
        <v>31232.861296369098</v>
      </c>
      <c r="F31">
        <f t="shared" si="1"/>
        <v>31233</v>
      </c>
      <c r="G31">
        <f t="shared" si="2"/>
        <v>-0.10891790000459878</v>
      </c>
      <c r="I31">
        <f t="shared" si="5"/>
        <v>-0.10891790000459878</v>
      </c>
      <c r="O31">
        <f t="shared" ca="1" si="3"/>
        <v>-0.1101774322066337</v>
      </c>
      <c r="Q31" s="1">
        <f t="shared" si="4"/>
        <v>38236.830399999999</v>
      </c>
    </row>
    <row r="32" spans="1:17" x14ac:dyDescent="0.2">
      <c r="A32" s="9" t="s">
        <v>41</v>
      </c>
      <c r="B32" s="10" t="s">
        <v>33</v>
      </c>
      <c r="C32" s="9">
        <v>55339.7765</v>
      </c>
      <c r="D32" s="9">
        <v>5.9999999999999995E-4</v>
      </c>
      <c r="E32">
        <f t="shared" si="0"/>
        <v>33887.339967855085</v>
      </c>
      <c r="F32">
        <f t="shared" si="1"/>
        <v>33887.5</v>
      </c>
      <c r="G32">
        <f t="shared" si="2"/>
        <v>-0.12566625000181375</v>
      </c>
      <c r="I32">
        <f t="shared" si="5"/>
        <v>-0.12566625000181375</v>
      </c>
      <c r="O32">
        <f t="shared" ca="1" si="3"/>
        <v>-0.12442073294686845</v>
      </c>
      <c r="Q32" s="1">
        <f t="shared" si="4"/>
        <v>40321.2765</v>
      </c>
    </row>
    <row r="33" spans="2:17" x14ac:dyDescent="0.2">
      <c r="B33" s="2"/>
      <c r="C33" s="6"/>
      <c r="D33" s="6"/>
      <c r="Q33" s="1"/>
    </row>
    <row r="34" spans="2:17" x14ac:dyDescent="0.2">
      <c r="B34" s="2"/>
      <c r="C34" s="6"/>
      <c r="D34" s="6"/>
    </row>
    <row r="35" spans="2:17" x14ac:dyDescent="0.2">
      <c r="B35" s="2"/>
      <c r="C35" s="6"/>
      <c r="D35" s="6"/>
    </row>
    <row r="36" spans="2:17" x14ac:dyDescent="0.2">
      <c r="B36" s="2"/>
      <c r="C36" s="6"/>
      <c r="D36" s="6"/>
    </row>
    <row r="37" spans="2:17" x14ac:dyDescent="0.2">
      <c r="B37" s="2"/>
      <c r="C37" s="6"/>
      <c r="D37" s="6"/>
    </row>
    <row r="38" spans="2:17" x14ac:dyDescent="0.2">
      <c r="B38" s="2"/>
      <c r="C38" s="6"/>
      <c r="D38" s="6"/>
    </row>
    <row r="39" spans="2:17" x14ac:dyDescent="0.2">
      <c r="B39" s="2"/>
      <c r="C39" s="6"/>
      <c r="D39" s="6"/>
    </row>
    <row r="40" spans="2:17" x14ac:dyDescent="0.2">
      <c r="B40" s="2"/>
      <c r="C40" s="6"/>
      <c r="D40" s="6"/>
    </row>
    <row r="41" spans="2:17" x14ac:dyDescent="0.2">
      <c r="B41" s="2"/>
      <c r="C41" s="6"/>
      <c r="D41" s="6"/>
    </row>
    <row r="42" spans="2:17" x14ac:dyDescent="0.2">
      <c r="B42" s="2"/>
      <c r="C42" s="6"/>
      <c r="D42" s="6"/>
    </row>
    <row r="43" spans="2:17" x14ac:dyDescent="0.2">
      <c r="B43" s="2"/>
      <c r="C43" s="6"/>
      <c r="D43" s="6"/>
    </row>
    <row r="44" spans="2:17" x14ac:dyDescent="0.2">
      <c r="B44" s="2"/>
      <c r="C44" s="6"/>
      <c r="D44" s="6"/>
    </row>
    <row r="45" spans="2:17" x14ac:dyDescent="0.2">
      <c r="B45" s="2"/>
      <c r="C45" s="6"/>
      <c r="D45" s="6"/>
    </row>
    <row r="46" spans="2:17" x14ac:dyDescent="0.2">
      <c r="B46" s="2"/>
      <c r="C46" s="6"/>
      <c r="D46" s="6"/>
    </row>
    <row r="47" spans="2:17" x14ac:dyDescent="0.2">
      <c r="B47" s="2"/>
      <c r="C47" s="6"/>
      <c r="D47" s="6"/>
    </row>
    <row r="48" spans="2:17" x14ac:dyDescent="0.2">
      <c r="B48" s="2"/>
      <c r="C48" s="6"/>
      <c r="D48" s="6"/>
    </row>
    <row r="49" spans="2:4" x14ac:dyDescent="0.2">
      <c r="B49" s="2"/>
      <c r="C49" s="6"/>
      <c r="D49" s="6"/>
    </row>
    <row r="50" spans="2:4" x14ac:dyDescent="0.2">
      <c r="B50" s="2"/>
      <c r="C50" s="6"/>
      <c r="D50" s="6"/>
    </row>
    <row r="51" spans="2:4" x14ac:dyDescent="0.2">
      <c r="B51" s="2"/>
      <c r="C51" s="6"/>
      <c r="D51" s="6"/>
    </row>
    <row r="52" spans="2:4" x14ac:dyDescent="0.2">
      <c r="B52" s="2"/>
      <c r="C52" s="6"/>
      <c r="D52" s="6"/>
    </row>
    <row r="53" spans="2:4" x14ac:dyDescent="0.2">
      <c r="B53" s="2"/>
      <c r="C53" s="6"/>
      <c r="D53" s="6"/>
    </row>
    <row r="54" spans="2:4" x14ac:dyDescent="0.2">
      <c r="B54" s="2"/>
      <c r="C54" s="6"/>
      <c r="D54" s="6"/>
    </row>
    <row r="55" spans="2:4" x14ac:dyDescent="0.2">
      <c r="B55" s="2"/>
      <c r="C55" s="6"/>
      <c r="D55" s="6"/>
    </row>
    <row r="56" spans="2:4" x14ac:dyDescent="0.2">
      <c r="B56" s="2"/>
      <c r="C56" s="6"/>
      <c r="D56" s="6"/>
    </row>
    <row r="57" spans="2:4" x14ac:dyDescent="0.2">
      <c r="B57" s="2"/>
      <c r="C57" s="6"/>
      <c r="D57" s="6"/>
    </row>
    <row r="58" spans="2:4" x14ac:dyDescent="0.2">
      <c r="B58" s="2"/>
      <c r="C58" s="6"/>
      <c r="D58" s="6"/>
    </row>
    <row r="59" spans="2:4" x14ac:dyDescent="0.2">
      <c r="B59" s="2"/>
      <c r="C59" s="6"/>
      <c r="D59" s="6"/>
    </row>
    <row r="60" spans="2:4" x14ac:dyDescent="0.2">
      <c r="B60" s="2"/>
      <c r="C60" s="6"/>
      <c r="D60" s="6"/>
    </row>
    <row r="61" spans="2:4" x14ac:dyDescent="0.2">
      <c r="B61" s="2"/>
      <c r="C61" s="6"/>
      <c r="D61" s="6"/>
    </row>
    <row r="62" spans="2:4" x14ac:dyDescent="0.2">
      <c r="B62" s="2"/>
      <c r="C62" s="6"/>
      <c r="D62" s="6"/>
    </row>
    <row r="63" spans="2:4" x14ac:dyDescent="0.2">
      <c r="B63" s="2"/>
      <c r="C63" s="6"/>
      <c r="D63" s="6"/>
    </row>
    <row r="64" spans="2:4" x14ac:dyDescent="0.2">
      <c r="B64" s="2"/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9"/>
  <sheetViews>
    <sheetView workbookViewId="0">
      <selection activeCell="A16" sqref="A16:C17"/>
    </sheetView>
  </sheetViews>
  <sheetFormatPr defaultRowHeight="12.75" x14ac:dyDescent="0.2"/>
  <cols>
    <col min="1" max="1" width="19.7109375" style="6" customWidth="1"/>
    <col min="2" max="2" width="4.42578125" style="8" customWidth="1"/>
    <col min="3" max="3" width="12.7109375" style="6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11" t="s">
        <v>43</v>
      </c>
      <c r="I1" s="12" t="s">
        <v>44</v>
      </c>
      <c r="J1" s="13" t="s">
        <v>45</v>
      </c>
    </row>
    <row r="2" spans="1:16" x14ac:dyDescent="0.2">
      <c r="I2" s="14" t="s">
        <v>46</v>
      </c>
      <c r="J2" s="15" t="s">
        <v>47</v>
      </c>
    </row>
    <row r="3" spans="1:16" x14ac:dyDescent="0.2">
      <c r="A3" s="16" t="s">
        <v>48</v>
      </c>
      <c r="I3" s="14" t="s">
        <v>49</v>
      </c>
      <c r="J3" s="15" t="s">
        <v>50</v>
      </c>
    </row>
    <row r="4" spans="1:16" x14ac:dyDescent="0.2">
      <c r="I4" s="14" t="s">
        <v>51</v>
      </c>
      <c r="J4" s="15" t="s">
        <v>50</v>
      </c>
    </row>
    <row r="5" spans="1:16" ht="13.5" thickBot="1" x14ac:dyDescent="0.25">
      <c r="I5" s="17" t="s">
        <v>52</v>
      </c>
      <c r="J5" s="18" t="s">
        <v>53</v>
      </c>
    </row>
    <row r="10" spans="1:16" ht="13.5" thickBot="1" x14ac:dyDescent="0.25"/>
    <row r="11" spans="1:16" ht="12.75" customHeight="1" thickBot="1" x14ac:dyDescent="0.25">
      <c r="A11" s="6" t="str">
        <f t="shared" ref="A11:A17" si="0">P11</f>
        <v>IBVS 5583 </v>
      </c>
      <c r="B11" s="2" t="str">
        <f t="shared" ref="B11:B17" si="1">IF(H11=INT(H11),"I","II")</f>
        <v>II</v>
      </c>
      <c r="C11" s="6">
        <f t="shared" ref="C11:C17" si="2">1*G11</f>
        <v>52437.489600000001</v>
      </c>
      <c r="D11" s="8" t="str">
        <f t="shared" ref="D11:D17" si="3">VLOOKUP(F11,I$1:J$5,2,FALSE)</f>
        <v>vis</v>
      </c>
      <c r="E11" s="19">
        <f>VLOOKUP(C11,Active!C$21:E$973,3,FALSE)</f>
        <v>30191.365927277504</v>
      </c>
      <c r="F11" s="2" t="s">
        <v>52</v>
      </c>
      <c r="G11" s="8" t="str">
        <f t="shared" ref="G11:G17" si="4">MID(I11,3,LEN(I11)-3)</f>
        <v>52437.4896</v>
      </c>
      <c r="H11" s="6">
        <f t="shared" ref="H11:H17" si="5">1*K11</f>
        <v>30191.5</v>
      </c>
      <c r="I11" s="20" t="s">
        <v>54</v>
      </c>
      <c r="J11" s="21" t="s">
        <v>55</v>
      </c>
      <c r="K11" s="20">
        <v>30191.5</v>
      </c>
      <c r="L11" s="20" t="s">
        <v>56</v>
      </c>
      <c r="M11" s="21" t="s">
        <v>57</v>
      </c>
      <c r="N11" s="21" t="s">
        <v>58</v>
      </c>
      <c r="O11" s="22" t="s">
        <v>59</v>
      </c>
      <c r="P11" s="23" t="s">
        <v>60</v>
      </c>
    </row>
    <row r="12" spans="1:16" ht="12.75" customHeight="1" thickBot="1" x14ac:dyDescent="0.25">
      <c r="A12" s="6" t="str">
        <f t="shared" si="0"/>
        <v>IBVS 5399 </v>
      </c>
      <c r="B12" s="2" t="str">
        <f t="shared" si="1"/>
        <v>II</v>
      </c>
      <c r="C12" s="6">
        <f t="shared" si="2"/>
        <v>52474.391199999998</v>
      </c>
      <c r="D12" s="8" t="str">
        <f t="shared" si="3"/>
        <v>vis</v>
      </c>
      <c r="E12" s="19">
        <f>VLOOKUP(C12,Active!C$21:E$973,3,FALSE)</f>
        <v>30238.358991834895</v>
      </c>
      <c r="F12" s="2" t="s">
        <v>52</v>
      </c>
      <c r="G12" s="8" t="str">
        <f t="shared" si="4"/>
        <v>52474.3912</v>
      </c>
      <c r="H12" s="6">
        <f t="shared" si="5"/>
        <v>30238.5</v>
      </c>
      <c r="I12" s="20" t="s">
        <v>61</v>
      </c>
      <c r="J12" s="21" t="s">
        <v>62</v>
      </c>
      <c r="K12" s="20">
        <v>30238.5</v>
      </c>
      <c r="L12" s="20" t="s">
        <v>63</v>
      </c>
      <c r="M12" s="21" t="s">
        <v>57</v>
      </c>
      <c r="N12" s="21" t="s">
        <v>58</v>
      </c>
      <c r="O12" s="22" t="s">
        <v>64</v>
      </c>
      <c r="P12" s="23" t="s">
        <v>65</v>
      </c>
    </row>
    <row r="13" spans="1:16" ht="12.75" customHeight="1" thickBot="1" x14ac:dyDescent="0.25">
      <c r="A13" s="6" t="str">
        <f t="shared" si="0"/>
        <v>IBVS 5583 </v>
      </c>
      <c r="B13" s="2" t="str">
        <f t="shared" si="1"/>
        <v>II</v>
      </c>
      <c r="C13" s="6">
        <f t="shared" si="2"/>
        <v>52492.458200000001</v>
      </c>
      <c r="D13" s="8" t="str">
        <f t="shared" si="3"/>
        <v>vis</v>
      </c>
      <c r="E13" s="19">
        <f>VLOOKUP(C13,Active!C$21:E$973,3,FALSE)</f>
        <v>30261.366766493949</v>
      </c>
      <c r="F13" s="2" t="s">
        <v>52</v>
      </c>
      <c r="G13" s="8" t="str">
        <f t="shared" si="4"/>
        <v>52492.4582</v>
      </c>
      <c r="H13" s="6">
        <f t="shared" si="5"/>
        <v>30261.5</v>
      </c>
      <c r="I13" s="20" t="s">
        <v>66</v>
      </c>
      <c r="J13" s="21" t="s">
        <v>67</v>
      </c>
      <c r="K13" s="20">
        <v>30261.5</v>
      </c>
      <c r="L13" s="20" t="s">
        <v>68</v>
      </c>
      <c r="M13" s="21" t="s">
        <v>57</v>
      </c>
      <c r="N13" s="21" t="s">
        <v>69</v>
      </c>
      <c r="O13" s="22" t="s">
        <v>59</v>
      </c>
      <c r="P13" s="23" t="s">
        <v>60</v>
      </c>
    </row>
    <row r="14" spans="1:16" ht="12.75" customHeight="1" thickBot="1" x14ac:dyDescent="0.25">
      <c r="A14" s="6" t="str">
        <f t="shared" si="0"/>
        <v>IBVS 5583 </v>
      </c>
      <c r="B14" s="2" t="str">
        <f t="shared" si="1"/>
        <v>I</v>
      </c>
      <c r="C14" s="6">
        <f t="shared" si="2"/>
        <v>52878.4107</v>
      </c>
      <c r="D14" s="8" t="str">
        <f t="shared" si="3"/>
        <v>vis</v>
      </c>
      <c r="E14" s="19">
        <f>VLOOKUP(C14,Active!C$21:E$973,3,FALSE)</f>
        <v>30752.865529381936</v>
      </c>
      <c r="F14" s="2" t="s">
        <v>52</v>
      </c>
      <c r="G14" s="8" t="str">
        <f t="shared" si="4"/>
        <v>52878.4107</v>
      </c>
      <c r="H14" s="6">
        <f t="shared" si="5"/>
        <v>30753</v>
      </c>
      <c r="I14" s="20" t="s">
        <v>70</v>
      </c>
      <c r="J14" s="21" t="s">
        <v>71</v>
      </c>
      <c r="K14" s="20">
        <v>30753</v>
      </c>
      <c r="L14" s="20" t="s">
        <v>72</v>
      </c>
      <c r="M14" s="21" t="s">
        <v>57</v>
      </c>
      <c r="N14" s="21" t="s">
        <v>69</v>
      </c>
      <c r="O14" s="22" t="s">
        <v>59</v>
      </c>
      <c r="P14" s="23" t="s">
        <v>60</v>
      </c>
    </row>
    <row r="15" spans="1:16" ht="12.75" customHeight="1" thickBot="1" x14ac:dyDescent="0.25">
      <c r="A15" s="6" t="str">
        <f t="shared" si="0"/>
        <v>IBVS 5945 </v>
      </c>
      <c r="B15" s="2" t="str">
        <f t="shared" si="1"/>
        <v>II</v>
      </c>
      <c r="C15" s="6">
        <f t="shared" si="2"/>
        <v>55339.7765</v>
      </c>
      <c r="D15" s="8" t="str">
        <f t="shared" si="3"/>
        <v>vis</v>
      </c>
      <c r="E15" s="19">
        <f>VLOOKUP(C15,Active!C$21:E$973,3,FALSE)</f>
        <v>33887.339967855085</v>
      </c>
      <c r="F15" s="2" t="s">
        <v>52</v>
      </c>
      <c r="G15" s="8" t="str">
        <f t="shared" si="4"/>
        <v>55339.7765</v>
      </c>
      <c r="H15" s="6">
        <f t="shared" si="5"/>
        <v>33887.5</v>
      </c>
      <c r="I15" s="20" t="s">
        <v>81</v>
      </c>
      <c r="J15" s="21" t="s">
        <v>82</v>
      </c>
      <c r="K15" s="20">
        <v>33887.5</v>
      </c>
      <c r="L15" s="20" t="s">
        <v>83</v>
      </c>
      <c r="M15" s="21" t="s">
        <v>84</v>
      </c>
      <c r="N15" s="21" t="s">
        <v>52</v>
      </c>
      <c r="O15" s="22" t="s">
        <v>85</v>
      </c>
      <c r="P15" s="23" t="s">
        <v>86</v>
      </c>
    </row>
    <row r="16" spans="1:16" ht="12.75" customHeight="1" thickBot="1" x14ac:dyDescent="0.25">
      <c r="A16" s="6" t="str">
        <f t="shared" si="0"/>
        <v>IBVS 5741 </v>
      </c>
      <c r="B16" s="2" t="str">
        <f t="shared" si="1"/>
        <v>I</v>
      </c>
      <c r="C16" s="6">
        <f t="shared" si="2"/>
        <v>53251.403700000003</v>
      </c>
      <c r="D16" s="8" t="str">
        <f t="shared" si="3"/>
        <v>vis</v>
      </c>
      <c r="E16" s="19">
        <f>VLOOKUP(C16,Active!C$21:E$973,3,FALSE)</f>
        <v>31227.860763422086</v>
      </c>
      <c r="F16" s="2" t="s">
        <v>52</v>
      </c>
      <c r="G16" s="8" t="str">
        <f t="shared" si="4"/>
        <v>53251.4037</v>
      </c>
      <c r="H16" s="6">
        <f t="shared" si="5"/>
        <v>31228</v>
      </c>
      <c r="I16" s="20" t="s">
        <v>73</v>
      </c>
      <c r="J16" s="21" t="s">
        <v>74</v>
      </c>
      <c r="K16" s="20">
        <v>31228</v>
      </c>
      <c r="L16" s="20" t="s">
        <v>75</v>
      </c>
      <c r="M16" s="21" t="s">
        <v>57</v>
      </c>
      <c r="N16" s="21" t="s">
        <v>58</v>
      </c>
      <c r="O16" s="22" t="s">
        <v>76</v>
      </c>
      <c r="P16" s="23" t="s">
        <v>77</v>
      </c>
    </row>
    <row r="17" spans="1:16" ht="12.75" customHeight="1" thickBot="1" x14ac:dyDescent="0.25">
      <c r="A17" s="6" t="str">
        <f t="shared" si="0"/>
        <v>IBVS 5741 </v>
      </c>
      <c r="B17" s="2" t="str">
        <f t="shared" si="1"/>
        <v>I</v>
      </c>
      <c r="C17" s="6">
        <f t="shared" si="2"/>
        <v>53255.330399999999</v>
      </c>
      <c r="D17" s="8" t="str">
        <f t="shared" si="3"/>
        <v>vis</v>
      </c>
      <c r="E17" s="19">
        <f>VLOOKUP(C17,Active!C$21:E$973,3,FALSE)</f>
        <v>31232.861296369098</v>
      </c>
      <c r="F17" s="2" t="s">
        <v>52</v>
      </c>
      <c r="G17" s="8" t="str">
        <f t="shared" si="4"/>
        <v>53255.3304</v>
      </c>
      <c r="H17" s="6">
        <f t="shared" si="5"/>
        <v>31233</v>
      </c>
      <c r="I17" s="20" t="s">
        <v>78</v>
      </c>
      <c r="J17" s="21" t="s">
        <v>79</v>
      </c>
      <c r="K17" s="20">
        <v>31233</v>
      </c>
      <c r="L17" s="20" t="s">
        <v>80</v>
      </c>
      <c r="M17" s="21" t="s">
        <v>57</v>
      </c>
      <c r="N17" s="21" t="s">
        <v>58</v>
      </c>
      <c r="O17" s="22" t="s">
        <v>76</v>
      </c>
      <c r="P17" s="23" t="s">
        <v>77</v>
      </c>
    </row>
    <row r="18" spans="1:16" x14ac:dyDescent="0.2">
      <c r="B18" s="2"/>
      <c r="E18" s="19"/>
      <c r="F18" s="2"/>
    </row>
    <row r="19" spans="1:16" x14ac:dyDescent="0.2">
      <c r="B19" s="2"/>
      <c r="E19" s="19"/>
      <c r="F19" s="2"/>
    </row>
    <row r="20" spans="1:16" x14ac:dyDescent="0.2">
      <c r="B20" s="2"/>
      <c r="E20" s="19"/>
      <c r="F20" s="2"/>
    </row>
    <row r="21" spans="1:16" x14ac:dyDescent="0.2">
      <c r="B21" s="2"/>
      <c r="E21" s="19"/>
      <c r="F21" s="2"/>
    </row>
    <row r="22" spans="1:16" x14ac:dyDescent="0.2">
      <c r="B22" s="2"/>
      <c r="E22" s="19"/>
      <c r="F22" s="2"/>
    </row>
    <row r="23" spans="1:16" x14ac:dyDescent="0.2">
      <c r="B23" s="2"/>
      <c r="E23" s="19"/>
      <c r="F23" s="2"/>
    </row>
    <row r="24" spans="1:16" x14ac:dyDescent="0.2">
      <c r="B24" s="2"/>
      <c r="E24" s="19"/>
      <c r="F24" s="2"/>
    </row>
    <row r="25" spans="1:16" x14ac:dyDescent="0.2">
      <c r="B25" s="2"/>
      <c r="E25" s="19"/>
      <c r="F25" s="2"/>
    </row>
    <row r="26" spans="1:16" x14ac:dyDescent="0.2">
      <c r="B26" s="2"/>
      <c r="E26" s="19"/>
      <c r="F26" s="2"/>
    </row>
    <row r="27" spans="1:16" x14ac:dyDescent="0.2">
      <c r="B27" s="2"/>
      <c r="E27" s="19"/>
      <c r="F27" s="2"/>
    </row>
    <row r="28" spans="1:16" x14ac:dyDescent="0.2">
      <c r="B28" s="2"/>
      <c r="E28" s="19"/>
      <c r="F28" s="2"/>
    </row>
    <row r="29" spans="1:16" x14ac:dyDescent="0.2">
      <c r="B29" s="2"/>
      <c r="E29" s="19"/>
      <c r="F29" s="2"/>
    </row>
    <row r="30" spans="1:16" x14ac:dyDescent="0.2">
      <c r="B30" s="2"/>
      <c r="E30" s="19"/>
      <c r="F30" s="2"/>
    </row>
    <row r="31" spans="1:16" x14ac:dyDescent="0.2">
      <c r="B31" s="2"/>
      <c r="E31" s="19"/>
      <c r="F31" s="2"/>
    </row>
    <row r="32" spans="1:16" x14ac:dyDescent="0.2">
      <c r="B32" s="2"/>
      <c r="E32" s="19"/>
      <c r="F32" s="2"/>
    </row>
    <row r="33" spans="2:6" x14ac:dyDescent="0.2">
      <c r="B33" s="2"/>
      <c r="E33" s="19"/>
      <c r="F33" s="2"/>
    </row>
    <row r="34" spans="2:6" x14ac:dyDescent="0.2">
      <c r="B34" s="2"/>
      <c r="E34" s="19"/>
      <c r="F34" s="2"/>
    </row>
    <row r="35" spans="2:6" x14ac:dyDescent="0.2">
      <c r="B35" s="2"/>
      <c r="E35" s="19"/>
      <c r="F35" s="2"/>
    </row>
    <row r="36" spans="2:6" x14ac:dyDescent="0.2">
      <c r="B36" s="2"/>
      <c r="E36" s="19"/>
      <c r="F36" s="2"/>
    </row>
    <row r="37" spans="2:6" x14ac:dyDescent="0.2">
      <c r="B37" s="2"/>
      <c r="E37" s="19"/>
      <c r="F37" s="2"/>
    </row>
    <row r="38" spans="2:6" x14ac:dyDescent="0.2">
      <c r="B38" s="2"/>
      <c r="E38" s="19"/>
      <c r="F38" s="2"/>
    </row>
    <row r="39" spans="2:6" x14ac:dyDescent="0.2">
      <c r="B39" s="2"/>
      <c r="E39" s="19"/>
      <c r="F39" s="2"/>
    </row>
    <row r="40" spans="2:6" x14ac:dyDescent="0.2">
      <c r="B40" s="2"/>
      <c r="E40" s="19"/>
      <c r="F40" s="2"/>
    </row>
    <row r="41" spans="2:6" x14ac:dyDescent="0.2">
      <c r="B41" s="2"/>
      <c r="E41" s="19"/>
      <c r="F41" s="2"/>
    </row>
    <row r="42" spans="2:6" x14ac:dyDescent="0.2">
      <c r="B42" s="2"/>
      <c r="E42" s="19"/>
      <c r="F42" s="2"/>
    </row>
    <row r="43" spans="2:6" x14ac:dyDescent="0.2">
      <c r="B43" s="2"/>
      <c r="E43" s="19"/>
      <c r="F43" s="2"/>
    </row>
    <row r="44" spans="2:6" x14ac:dyDescent="0.2">
      <c r="B44" s="2"/>
      <c r="E44" s="19"/>
      <c r="F44" s="2"/>
    </row>
    <row r="45" spans="2:6" x14ac:dyDescent="0.2">
      <c r="B45" s="2"/>
      <c r="E45" s="19"/>
      <c r="F45" s="2"/>
    </row>
    <row r="46" spans="2:6" x14ac:dyDescent="0.2">
      <c r="B46" s="2"/>
      <c r="E46" s="19"/>
      <c r="F46" s="2"/>
    </row>
    <row r="47" spans="2:6" x14ac:dyDescent="0.2">
      <c r="B47" s="2"/>
      <c r="E47" s="19"/>
      <c r="F47" s="2"/>
    </row>
    <row r="48" spans="2:6" x14ac:dyDescent="0.2">
      <c r="B48" s="2"/>
      <c r="E48" s="19"/>
      <c r="F48" s="2"/>
    </row>
    <row r="49" spans="2:6" x14ac:dyDescent="0.2">
      <c r="B49" s="2"/>
      <c r="E49" s="19"/>
      <c r="F49" s="2"/>
    </row>
    <row r="50" spans="2:6" x14ac:dyDescent="0.2">
      <c r="B50" s="2"/>
      <c r="E50" s="19"/>
      <c r="F50" s="2"/>
    </row>
    <row r="51" spans="2:6" x14ac:dyDescent="0.2">
      <c r="B51" s="2"/>
      <c r="E51" s="19"/>
      <c r="F51" s="2"/>
    </row>
    <row r="52" spans="2:6" x14ac:dyDescent="0.2">
      <c r="B52" s="2"/>
      <c r="E52" s="19"/>
      <c r="F52" s="2"/>
    </row>
    <row r="53" spans="2:6" x14ac:dyDescent="0.2">
      <c r="B53" s="2"/>
      <c r="E53" s="19"/>
      <c r="F53" s="2"/>
    </row>
    <row r="54" spans="2:6" x14ac:dyDescent="0.2">
      <c r="B54" s="2"/>
      <c r="E54" s="19"/>
      <c r="F54" s="2"/>
    </row>
    <row r="55" spans="2:6" x14ac:dyDescent="0.2">
      <c r="B55" s="2"/>
      <c r="E55" s="19"/>
      <c r="F55" s="2"/>
    </row>
    <row r="56" spans="2:6" x14ac:dyDescent="0.2">
      <c r="B56" s="2"/>
      <c r="E56" s="19"/>
      <c r="F56" s="2"/>
    </row>
    <row r="57" spans="2:6" x14ac:dyDescent="0.2">
      <c r="B57" s="2"/>
      <c r="E57" s="19"/>
      <c r="F57" s="2"/>
    </row>
    <row r="58" spans="2:6" x14ac:dyDescent="0.2">
      <c r="B58" s="2"/>
      <c r="E58" s="19"/>
      <c r="F58" s="2"/>
    </row>
    <row r="59" spans="2:6" x14ac:dyDescent="0.2">
      <c r="B59" s="2"/>
      <c r="E59" s="19"/>
      <c r="F59" s="2"/>
    </row>
    <row r="60" spans="2:6" x14ac:dyDescent="0.2">
      <c r="B60" s="2"/>
      <c r="E60" s="19"/>
      <c r="F60" s="2"/>
    </row>
    <row r="61" spans="2:6" x14ac:dyDescent="0.2">
      <c r="B61" s="2"/>
      <c r="E61" s="19"/>
      <c r="F61" s="2"/>
    </row>
    <row r="62" spans="2:6" x14ac:dyDescent="0.2">
      <c r="B62" s="2"/>
      <c r="E62" s="19"/>
      <c r="F62" s="2"/>
    </row>
    <row r="63" spans="2:6" x14ac:dyDescent="0.2">
      <c r="B63" s="2"/>
      <c r="E63" s="19"/>
      <c r="F63" s="2"/>
    </row>
    <row r="64" spans="2:6" x14ac:dyDescent="0.2">
      <c r="B64" s="2"/>
      <c r="E64" s="19"/>
      <c r="F64" s="2"/>
    </row>
    <row r="65" spans="2:6" x14ac:dyDescent="0.2">
      <c r="B65" s="2"/>
      <c r="E65" s="19"/>
      <c r="F65" s="2"/>
    </row>
    <row r="66" spans="2:6" x14ac:dyDescent="0.2">
      <c r="B66" s="2"/>
      <c r="E66" s="19"/>
      <c r="F66" s="2"/>
    </row>
    <row r="67" spans="2:6" x14ac:dyDescent="0.2">
      <c r="B67" s="2"/>
      <c r="E67" s="19"/>
      <c r="F67" s="2"/>
    </row>
    <row r="68" spans="2:6" x14ac:dyDescent="0.2">
      <c r="B68" s="2"/>
      <c r="E68" s="19"/>
      <c r="F68" s="2"/>
    </row>
    <row r="69" spans="2:6" x14ac:dyDescent="0.2">
      <c r="B69" s="2"/>
      <c r="E69" s="19"/>
      <c r="F69" s="2"/>
    </row>
    <row r="70" spans="2:6" x14ac:dyDescent="0.2">
      <c r="B70" s="2"/>
      <c r="E70" s="19"/>
      <c r="F70" s="2"/>
    </row>
    <row r="71" spans="2:6" x14ac:dyDescent="0.2">
      <c r="B71" s="2"/>
      <c r="E71" s="19"/>
      <c r="F71" s="2"/>
    </row>
    <row r="72" spans="2:6" x14ac:dyDescent="0.2">
      <c r="B72" s="2"/>
      <c r="E72" s="19"/>
      <c r="F72" s="2"/>
    </row>
    <row r="73" spans="2:6" x14ac:dyDescent="0.2">
      <c r="B73" s="2"/>
      <c r="E73" s="19"/>
      <c r="F73" s="2"/>
    </row>
    <row r="74" spans="2:6" x14ac:dyDescent="0.2">
      <c r="B74" s="2"/>
      <c r="E74" s="19"/>
      <c r="F74" s="2"/>
    </row>
    <row r="75" spans="2:6" x14ac:dyDescent="0.2">
      <c r="B75" s="2"/>
      <c r="E75" s="19"/>
      <c r="F75" s="2"/>
    </row>
    <row r="76" spans="2:6" x14ac:dyDescent="0.2">
      <c r="B76" s="2"/>
      <c r="E76" s="19"/>
      <c r="F76" s="2"/>
    </row>
    <row r="77" spans="2:6" x14ac:dyDescent="0.2">
      <c r="B77" s="2"/>
      <c r="E77" s="19"/>
      <c r="F77" s="2"/>
    </row>
    <row r="78" spans="2:6" x14ac:dyDescent="0.2">
      <c r="B78" s="2"/>
      <c r="E78" s="19"/>
      <c r="F78" s="2"/>
    </row>
    <row r="79" spans="2:6" x14ac:dyDescent="0.2">
      <c r="B79" s="2"/>
      <c r="E79" s="19"/>
      <c r="F79" s="2"/>
    </row>
    <row r="80" spans="2:6" x14ac:dyDescent="0.2">
      <c r="B80" s="2"/>
      <c r="E80" s="19"/>
      <c r="F80" s="2"/>
    </row>
    <row r="81" spans="2:6" x14ac:dyDescent="0.2">
      <c r="B81" s="2"/>
      <c r="E81" s="19"/>
      <c r="F81" s="2"/>
    </row>
    <row r="82" spans="2:6" x14ac:dyDescent="0.2">
      <c r="B82" s="2"/>
      <c r="E82" s="19"/>
      <c r="F82" s="2"/>
    </row>
    <row r="83" spans="2:6" x14ac:dyDescent="0.2">
      <c r="B83" s="2"/>
      <c r="E83" s="19"/>
      <c r="F83" s="2"/>
    </row>
    <row r="84" spans="2:6" x14ac:dyDescent="0.2">
      <c r="B84" s="2"/>
      <c r="E84" s="19"/>
      <c r="F84" s="2"/>
    </row>
    <row r="85" spans="2:6" x14ac:dyDescent="0.2">
      <c r="B85" s="2"/>
      <c r="E85" s="19"/>
      <c r="F85" s="2"/>
    </row>
    <row r="86" spans="2:6" x14ac:dyDescent="0.2">
      <c r="B86" s="2"/>
      <c r="E86" s="19"/>
      <c r="F86" s="2"/>
    </row>
    <row r="87" spans="2:6" x14ac:dyDescent="0.2">
      <c r="B87" s="2"/>
      <c r="E87" s="19"/>
      <c r="F87" s="2"/>
    </row>
    <row r="88" spans="2:6" x14ac:dyDescent="0.2">
      <c r="B88" s="2"/>
      <c r="E88" s="19"/>
      <c r="F88" s="2"/>
    </row>
    <row r="89" spans="2:6" x14ac:dyDescent="0.2">
      <c r="B89" s="2"/>
      <c r="E89" s="19"/>
      <c r="F89" s="2"/>
    </row>
    <row r="90" spans="2:6" x14ac:dyDescent="0.2">
      <c r="B90" s="2"/>
      <c r="E90" s="19"/>
      <c r="F90" s="2"/>
    </row>
    <row r="91" spans="2:6" x14ac:dyDescent="0.2">
      <c r="B91" s="2"/>
      <c r="E91" s="19"/>
      <c r="F91" s="2"/>
    </row>
    <row r="92" spans="2:6" x14ac:dyDescent="0.2">
      <c r="B92" s="2"/>
      <c r="E92" s="19"/>
      <c r="F92" s="2"/>
    </row>
    <row r="93" spans="2:6" x14ac:dyDescent="0.2">
      <c r="B93" s="2"/>
      <c r="E93" s="19"/>
      <c r="F93" s="2"/>
    </row>
    <row r="94" spans="2:6" x14ac:dyDescent="0.2">
      <c r="B94" s="2"/>
      <c r="E94" s="19"/>
      <c r="F94" s="2"/>
    </row>
    <row r="95" spans="2:6" x14ac:dyDescent="0.2">
      <c r="B95" s="2"/>
      <c r="E95" s="19"/>
      <c r="F95" s="2"/>
    </row>
    <row r="96" spans="2:6" x14ac:dyDescent="0.2">
      <c r="B96" s="2"/>
      <c r="E96" s="19"/>
      <c r="F96" s="2"/>
    </row>
    <row r="97" spans="2:6" x14ac:dyDescent="0.2">
      <c r="B97" s="2"/>
      <c r="E97" s="19"/>
      <c r="F97" s="2"/>
    </row>
    <row r="98" spans="2:6" x14ac:dyDescent="0.2">
      <c r="B98" s="2"/>
      <c r="E98" s="19"/>
      <c r="F98" s="2"/>
    </row>
    <row r="99" spans="2:6" x14ac:dyDescent="0.2">
      <c r="B99" s="2"/>
      <c r="E99" s="19"/>
      <c r="F99" s="2"/>
    </row>
    <row r="100" spans="2:6" x14ac:dyDescent="0.2">
      <c r="B100" s="2"/>
      <c r="E100" s="19"/>
      <c r="F100" s="2"/>
    </row>
    <row r="101" spans="2:6" x14ac:dyDescent="0.2">
      <c r="B101" s="2"/>
      <c r="E101" s="19"/>
      <c r="F101" s="2"/>
    </row>
    <row r="102" spans="2:6" x14ac:dyDescent="0.2">
      <c r="B102" s="2"/>
      <c r="E102" s="19"/>
      <c r="F102" s="2"/>
    </row>
    <row r="103" spans="2:6" x14ac:dyDescent="0.2">
      <c r="B103" s="2"/>
      <c r="E103" s="19"/>
      <c r="F103" s="2"/>
    </row>
    <row r="104" spans="2:6" x14ac:dyDescent="0.2">
      <c r="B104" s="2"/>
      <c r="E104" s="19"/>
      <c r="F104" s="2"/>
    </row>
    <row r="105" spans="2:6" x14ac:dyDescent="0.2">
      <c r="B105" s="2"/>
      <c r="E105" s="19"/>
      <c r="F105" s="2"/>
    </row>
    <row r="106" spans="2:6" x14ac:dyDescent="0.2">
      <c r="B106" s="2"/>
      <c r="E106" s="19"/>
      <c r="F106" s="2"/>
    </row>
    <row r="107" spans="2:6" x14ac:dyDescent="0.2">
      <c r="B107" s="2"/>
      <c r="E107" s="19"/>
      <c r="F107" s="2"/>
    </row>
    <row r="108" spans="2:6" x14ac:dyDescent="0.2">
      <c r="B108" s="2"/>
      <c r="E108" s="19"/>
      <c r="F108" s="2"/>
    </row>
    <row r="109" spans="2:6" x14ac:dyDescent="0.2">
      <c r="B109" s="2"/>
      <c r="E109" s="19"/>
      <c r="F109" s="2"/>
    </row>
    <row r="110" spans="2:6" x14ac:dyDescent="0.2">
      <c r="B110" s="2"/>
      <c r="E110" s="19"/>
      <c r="F110" s="2"/>
    </row>
    <row r="111" spans="2:6" x14ac:dyDescent="0.2">
      <c r="B111" s="2"/>
      <c r="E111" s="19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</sheetData>
  <phoneticPr fontId="7" type="noConversion"/>
  <hyperlinks>
    <hyperlink ref="P11" r:id="rId1" display="http://www.konkoly.hu/cgi-bin/IBVS?5583"/>
    <hyperlink ref="P12" r:id="rId2" display="http://www.konkoly.hu/cgi-bin/IBVS?5399"/>
    <hyperlink ref="P13" r:id="rId3" display="http://www.konkoly.hu/cgi-bin/IBVS?5583"/>
    <hyperlink ref="P14" r:id="rId4" display="http://www.konkoly.hu/cgi-bin/IBVS?5583"/>
    <hyperlink ref="P16" r:id="rId5" display="http://www.konkoly.hu/cgi-bin/IBVS?5741"/>
    <hyperlink ref="P17" r:id="rId6" display="http://www.konkoly.hu/cgi-bin/IBVS?5741"/>
    <hyperlink ref="P15" r:id="rId7" display="http://www.konkoly.hu/cgi-bin/IBVS?594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2024-03-05T06:29:16Z</dcterms:modified>
</cp:coreProperties>
</file>