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25C1F4B-5991-4C19-A83A-47E5982509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78" i="2" l="1"/>
  <c r="F78" i="2" s="1"/>
  <c r="G78" i="2" s="1"/>
  <c r="R78" i="2" s="1"/>
  <c r="Q78" i="2"/>
  <c r="Q79" i="2"/>
  <c r="F16" i="2"/>
  <c r="F17" i="2" s="1"/>
  <c r="Q77" i="2"/>
  <c r="E32" i="2"/>
  <c r="F32" i="2"/>
  <c r="G32" i="2"/>
  <c r="I32" i="2" s="1"/>
  <c r="E39" i="2"/>
  <c r="F39" i="2"/>
  <c r="G39" i="2" s="1"/>
  <c r="K39" i="2" s="1"/>
  <c r="E50" i="2"/>
  <c r="F50" i="2"/>
  <c r="G50" i="2"/>
  <c r="K50" i="2" s="1"/>
  <c r="E62" i="2"/>
  <c r="F62" i="2"/>
  <c r="G62" i="2" s="1"/>
  <c r="K62" i="2" s="1"/>
  <c r="E36" i="2"/>
  <c r="F36" i="2"/>
  <c r="R36" i="2"/>
  <c r="C9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8" i="2"/>
  <c r="Q46" i="2"/>
  <c r="Q49" i="2"/>
  <c r="Q52" i="2"/>
  <c r="Q63" i="2"/>
  <c r="Q70" i="2"/>
  <c r="Q71" i="2"/>
  <c r="Q72" i="2"/>
  <c r="Q76" i="2"/>
  <c r="G61" i="3"/>
  <c r="C61" i="3"/>
  <c r="G39" i="3"/>
  <c r="C39" i="3"/>
  <c r="G38" i="3"/>
  <c r="C38" i="3"/>
  <c r="G37" i="3"/>
  <c r="C37" i="3"/>
  <c r="G60" i="3"/>
  <c r="C60" i="3"/>
  <c r="G59" i="3"/>
  <c r="C59" i="3"/>
  <c r="G58" i="3"/>
  <c r="C58" i="3"/>
  <c r="G36" i="3"/>
  <c r="C36" i="3"/>
  <c r="E36" i="3"/>
  <c r="G35" i="3"/>
  <c r="C35" i="3"/>
  <c r="G34" i="3"/>
  <c r="C34" i="3"/>
  <c r="G33" i="3"/>
  <c r="C33" i="3"/>
  <c r="G32" i="3"/>
  <c r="C32" i="3"/>
  <c r="G31" i="3"/>
  <c r="C31" i="3"/>
  <c r="G57" i="3"/>
  <c r="C57" i="3"/>
  <c r="E57" i="3"/>
  <c r="G30" i="3"/>
  <c r="C30" i="3"/>
  <c r="E30" i="3"/>
  <c r="G29" i="3"/>
  <c r="C29" i="3"/>
  <c r="G28" i="3"/>
  <c r="C28" i="3"/>
  <c r="G27" i="3"/>
  <c r="C27" i="3"/>
  <c r="G26" i="3"/>
  <c r="C26" i="3"/>
  <c r="G25" i="3"/>
  <c r="C25" i="3"/>
  <c r="G24" i="3"/>
  <c r="C24" i="3"/>
  <c r="E24" i="3"/>
  <c r="G23" i="3"/>
  <c r="C23" i="3"/>
  <c r="G22" i="3"/>
  <c r="C22" i="3"/>
  <c r="G21" i="3"/>
  <c r="C21" i="3"/>
  <c r="G56" i="3"/>
  <c r="C56" i="3"/>
  <c r="G20" i="3"/>
  <c r="C20" i="3"/>
  <c r="E20" i="3"/>
  <c r="G55" i="3"/>
  <c r="C55" i="3"/>
  <c r="G54" i="3"/>
  <c r="C54" i="3"/>
  <c r="G19" i="3"/>
  <c r="C19" i="3"/>
  <c r="G18" i="3"/>
  <c r="C18" i="3"/>
  <c r="G17" i="3"/>
  <c r="C17" i="3"/>
  <c r="G16" i="3"/>
  <c r="C16" i="3"/>
  <c r="E16" i="3"/>
  <c r="G15" i="3"/>
  <c r="C15" i="3"/>
  <c r="G53" i="3"/>
  <c r="C53" i="3"/>
  <c r="G14" i="3"/>
  <c r="C14" i="3"/>
  <c r="G13" i="3"/>
  <c r="C13" i="3"/>
  <c r="E13" i="3"/>
  <c r="G12" i="3"/>
  <c r="C12" i="3"/>
  <c r="G52" i="3"/>
  <c r="C52" i="3"/>
  <c r="G51" i="3"/>
  <c r="C51" i="3"/>
  <c r="G50" i="3"/>
  <c r="C50" i="3"/>
  <c r="E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11" i="3"/>
  <c r="C11" i="3"/>
  <c r="H61" i="3"/>
  <c r="D61" i="3"/>
  <c r="B61" i="3"/>
  <c r="A61" i="3"/>
  <c r="H39" i="3"/>
  <c r="D39" i="3"/>
  <c r="B39" i="3"/>
  <c r="A39" i="3"/>
  <c r="H38" i="3"/>
  <c r="D38" i="3"/>
  <c r="B38" i="3"/>
  <c r="A38" i="3"/>
  <c r="H37" i="3"/>
  <c r="D37" i="3"/>
  <c r="B37" i="3"/>
  <c r="A37" i="3"/>
  <c r="H60" i="3"/>
  <c r="D60" i="3"/>
  <c r="B60" i="3"/>
  <c r="A60" i="3"/>
  <c r="H59" i="3"/>
  <c r="D59" i="3"/>
  <c r="B59" i="3"/>
  <c r="A59" i="3"/>
  <c r="H58" i="3"/>
  <c r="D58" i="3"/>
  <c r="B58" i="3"/>
  <c r="A58" i="3"/>
  <c r="H36" i="3"/>
  <c r="D36" i="3"/>
  <c r="B36" i="3"/>
  <c r="A36" i="3"/>
  <c r="H35" i="3"/>
  <c r="D35" i="3"/>
  <c r="B35" i="3"/>
  <c r="A35" i="3"/>
  <c r="H34" i="3"/>
  <c r="D34" i="3"/>
  <c r="B34" i="3"/>
  <c r="A34" i="3"/>
  <c r="H33" i="3"/>
  <c r="D33" i="3"/>
  <c r="B33" i="3"/>
  <c r="A33" i="3"/>
  <c r="H32" i="3"/>
  <c r="D32" i="3"/>
  <c r="B32" i="3"/>
  <c r="A32" i="3"/>
  <c r="H31" i="3"/>
  <c r="D31" i="3"/>
  <c r="B31" i="3"/>
  <c r="A31" i="3"/>
  <c r="H57" i="3"/>
  <c r="D57" i="3"/>
  <c r="B57" i="3"/>
  <c r="A57" i="3"/>
  <c r="H30" i="3"/>
  <c r="D30" i="3"/>
  <c r="B30" i="3"/>
  <c r="A30" i="3"/>
  <c r="H29" i="3"/>
  <c r="D29" i="3"/>
  <c r="B29" i="3"/>
  <c r="A29" i="3"/>
  <c r="H28" i="3"/>
  <c r="D28" i="3"/>
  <c r="B28" i="3"/>
  <c r="A28" i="3"/>
  <c r="H27" i="3"/>
  <c r="D27" i="3"/>
  <c r="B27" i="3"/>
  <c r="A27" i="3"/>
  <c r="H26" i="3"/>
  <c r="D26" i="3"/>
  <c r="B26" i="3"/>
  <c r="A26" i="3"/>
  <c r="H25" i="3"/>
  <c r="D25" i="3"/>
  <c r="B25" i="3"/>
  <c r="A25" i="3"/>
  <c r="H24" i="3"/>
  <c r="D24" i="3"/>
  <c r="B24" i="3"/>
  <c r="A24" i="3"/>
  <c r="H23" i="3"/>
  <c r="D23" i="3"/>
  <c r="B23" i="3"/>
  <c r="A23" i="3"/>
  <c r="H22" i="3"/>
  <c r="D22" i="3"/>
  <c r="B22" i="3"/>
  <c r="A22" i="3"/>
  <c r="H21" i="3"/>
  <c r="D21" i="3"/>
  <c r="B21" i="3"/>
  <c r="A21" i="3"/>
  <c r="H56" i="3"/>
  <c r="D56" i="3"/>
  <c r="B56" i="3"/>
  <c r="A56" i="3"/>
  <c r="H20" i="3"/>
  <c r="D20" i="3"/>
  <c r="B20" i="3"/>
  <c r="A20" i="3"/>
  <c r="H55" i="3"/>
  <c r="D55" i="3"/>
  <c r="B55" i="3"/>
  <c r="A55" i="3"/>
  <c r="H54" i="3"/>
  <c r="D54" i="3"/>
  <c r="B54" i="3"/>
  <c r="A54" i="3"/>
  <c r="H19" i="3"/>
  <c r="D19" i="3"/>
  <c r="B19" i="3"/>
  <c r="A19" i="3"/>
  <c r="H18" i="3"/>
  <c r="D18" i="3"/>
  <c r="B18" i="3"/>
  <c r="A18" i="3"/>
  <c r="H17" i="3"/>
  <c r="D17" i="3"/>
  <c r="B17" i="3"/>
  <c r="A17" i="3"/>
  <c r="H16" i="3"/>
  <c r="D16" i="3"/>
  <c r="B16" i="3"/>
  <c r="A16" i="3"/>
  <c r="H15" i="3"/>
  <c r="D15" i="3"/>
  <c r="B15" i="3"/>
  <c r="A15" i="3"/>
  <c r="H53" i="3"/>
  <c r="D53" i="3"/>
  <c r="B53" i="3"/>
  <c r="A53" i="3"/>
  <c r="H14" i="3"/>
  <c r="D14" i="3"/>
  <c r="B14" i="3"/>
  <c r="A14" i="3"/>
  <c r="H13" i="3"/>
  <c r="D13" i="3"/>
  <c r="B13" i="3"/>
  <c r="A13" i="3"/>
  <c r="H12" i="3"/>
  <c r="D12" i="3"/>
  <c r="B12" i="3"/>
  <c r="A12" i="3"/>
  <c r="H52" i="3"/>
  <c r="D52" i="3"/>
  <c r="B52" i="3"/>
  <c r="A52" i="3"/>
  <c r="H51" i="3"/>
  <c r="D51" i="3"/>
  <c r="B51" i="3"/>
  <c r="A51" i="3"/>
  <c r="H50" i="3"/>
  <c r="D50" i="3"/>
  <c r="B50" i="3"/>
  <c r="A50" i="3"/>
  <c r="H49" i="3"/>
  <c r="D49" i="3"/>
  <c r="B49" i="3"/>
  <c r="A49" i="3"/>
  <c r="H48" i="3"/>
  <c r="D48" i="3"/>
  <c r="B48" i="3"/>
  <c r="A48" i="3"/>
  <c r="H47" i="3"/>
  <c r="D47" i="3"/>
  <c r="B47" i="3"/>
  <c r="A47" i="3"/>
  <c r="H46" i="3"/>
  <c r="D46" i="3"/>
  <c r="B46" i="3"/>
  <c r="A46" i="3"/>
  <c r="H45" i="3"/>
  <c r="D45" i="3"/>
  <c r="B45" i="3"/>
  <c r="A45" i="3"/>
  <c r="H44" i="3"/>
  <c r="D44" i="3"/>
  <c r="B44" i="3"/>
  <c r="A44" i="3"/>
  <c r="H43" i="3"/>
  <c r="D43" i="3"/>
  <c r="B43" i="3"/>
  <c r="A43" i="3"/>
  <c r="H42" i="3"/>
  <c r="D42" i="3"/>
  <c r="B42" i="3"/>
  <c r="A42" i="3"/>
  <c r="H41" i="3"/>
  <c r="D41" i="3"/>
  <c r="B41" i="3"/>
  <c r="A41" i="3"/>
  <c r="H40" i="3"/>
  <c r="D40" i="3"/>
  <c r="B40" i="3"/>
  <c r="A40" i="3"/>
  <c r="H11" i="3"/>
  <c r="D11" i="3"/>
  <c r="B11" i="3"/>
  <c r="A11" i="3"/>
  <c r="D9" i="2"/>
  <c r="Q75" i="2"/>
  <c r="Q45" i="2"/>
  <c r="Q47" i="2"/>
  <c r="Q48" i="2"/>
  <c r="Q50" i="2"/>
  <c r="Q51" i="2"/>
  <c r="Q53" i="2"/>
  <c r="Q73" i="2"/>
  <c r="Q74" i="2"/>
  <c r="Q66" i="2"/>
  <c r="Q67" i="2"/>
  <c r="Q68" i="2"/>
  <c r="Q69" i="2"/>
  <c r="C17" i="2"/>
  <c r="C7" i="2"/>
  <c r="E79" i="2"/>
  <c r="F79" i="2" s="1"/>
  <c r="G79" i="2" s="1"/>
  <c r="K79" i="2" s="1"/>
  <c r="Q56" i="2"/>
  <c r="Q57" i="2"/>
  <c r="Q58" i="2"/>
  <c r="Q59" i="2"/>
  <c r="Q60" i="2"/>
  <c r="Q61" i="2"/>
  <c r="Q62" i="2"/>
  <c r="Q64" i="2"/>
  <c r="Q65" i="2"/>
  <c r="Q54" i="2"/>
  <c r="Q55" i="2"/>
  <c r="Q21" i="2"/>
  <c r="Q35" i="2"/>
  <c r="Q36" i="2"/>
  <c r="Q37" i="2"/>
  <c r="Q39" i="2"/>
  <c r="Q40" i="2"/>
  <c r="Q41" i="2"/>
  <c r="Q42" i="2"/>
  <c r="Q43" i="2"/>
  <c r="Q44" i="2"/>
  <c r="E29" i="1"/>
  <c r="F29" i="1"/>
  <c r="Q27" i="1"/>
  <c r="Q28" i="1"/>
  <c r="Q29" i="1"/>
  <c r="Q30" i="1"/>
  <c r="Q25" i="1"/>
  <c r="Q26" i="1"/>
  <c r="Q22" i="1"/>
  <c r="Q23" i="1"/>
  <c r="Q24" i="1"/>
  <c r="C7" i="1"/>
  <c r="C8" i="1"/>
  <c r="E21" i="1"/>
  <c r="F21" i="1"/>
  <c r="E24" i="1"/>
  <c r="F24" i="1"/>
  <c r="C18" i="1"/>
  <c r="Q21" i="1"/>
  <c r="E65" i="2"/>
  <c r="E32" i="3" s="1"/>
  <c r="E56" i="2"/>
  <c r="F56" i="2"/>
  <c r="G56" i="2" s="1"/>
  <c r="K56" i="2" s="1"/>
  <c r="E45" i="2"/>
  <c r="F45" i="2" s="1"/>
  <c r="G45" i="2" s="1"/>
  <c r="K45" i="2" s="1"/>
  <c r="E72" i="2"/>
  <c r="E60" i="3" s="1"/>
  <c r="F72" i="2"/>
  <c r="G72" i="2" s="1"/>
  <c r="K72" i="2" s="1"/>
  <c r="E34" i="2"/>
  <c r="F34" i="2" s="1"/>
  <c r="G34" i="2" s="1"/>
  <c r="I34" i="2" s="1"/>
  <c r="E26" i="2"/>
  <c r="E44" i="3" s="1"/>
  <c r="F26" i="2"/>
  <c r="G26" i="2" s="1"/>
  <c r="I26" i="2" s="1"/>
  <c r="E26" i="1"/>
  <c r="F26" i="1"/>
  <c r="E53" i="2"/>
  <c r="E42" i="2"/>
  <c r="E63" i="2"/>
  <c r="F63" i="2"/>
  <c r="G63" i="2" s="1"/>
  <c r="K63" i="2" s="1"/>
  <c r="E75" i="2"/>
  <c r="E39" i="3" s="1"/>
  <c r="E64" i="2"/>
  <c r="E31" i="3" s="1"/>
  <c r="F64" i="2"/>
  <c r="G64" i="2" s="1"/>
  <c r="K64" i="2" s="1"/>
  <c r="E55" i="2"/>
  <c r="E23" i="3" s="1"/>
  <c r="E71" i="2"/>
  <c r="F71" i="2" s="1"/>
  <c r="G71" i="2" s="1"/>
  <c r="K71" i="2" s="1"/>
  <c r="E59" i="3"/>
  <c r="E33" i="2"/>
  <c r="E51" i="3" s="1"/>
  <c r="E25" i="2"/>
  <c r="E43" i="3" s="1"/>
  <c r="F25" i="2"/>
  <c r="G25" i="2" s="1"/>
  <c r="I25" i="2" s="1"/>
  <c r="E69" i="2"/>
  <c r="E30" i="2"/>
  <c r="F30" i="2" s="1"/>
  <c r="G30" i="2" s="1"/>
  <c r="I30" i="2" s="1"/>
  <c r="E48" i="3"/>
  <c r="E66" i="2"/>
  <c r="F66" i="2" s="1"/>
  <c r="G66" i="2" s="1"/>
  <c r="K66" i="2" s="1"/>
  <c r="E57" i="2"/>
  <c r="F57" i="2"/>
  <c r="G57" i="2"/>
  <c r="K57" i="2" s="1"/>
  <c r="E47" i="2"/>
  <c r="F47" i="2"/>
  <c r="G47" i="2" s="1"/>
  <c r="K47" i="2" s="1"/>
  <c r="E76" i="2"/>
  <c r="E61" i="3"/>
  <c r="E38" i="2"/>
  <c r="F38" i="2" s="1"/>
  <c r="G38" i="2" s="1"/>
  <c r="K38" i="2" s="1"/>
  <c r="F69" i="2"/>
  <c r="G69" i="2" s="1"/>
  <c r="K69" i="2" s="1"/>
  <c r="F33" i="2"/>
  <c r="G33" i="2"/>
  <c r="I33" i="2" s="1"/>
  <c r="E25" i="3"/>
  <c r="F42" i="2"/>
  <c r="G42" i="2"/>
  <c r="K42" i="2"/>
  <c r="E26" i="3"/>
  <c r="E21" i="3"/>
  <c r="F53" i="2"/>
  <c r="G53" i="2"/>
  <c r="K53" i="2"/>
  <c r="E46" i="3"/>
  <c r="E29" i="3"/>
  <c r="G21" i="1"/>
  <c r="E27" i="2"/>
  <c r="E45" i="3" s="1"/>
  <c r="F76" i="2"/>
  <c r="G76" i="2"/>
  <c r="K76" i="2"/>
  <c r="E52" i="2"/>
  <c r="F52" i="2" s="1"/>
  <c r="G52" i="2" s="1"/>
  <c r="K52" i="2" s="1"/>
  <c r="E51" i="2"/>
  <c r="F51" i="2" s="1"/>
  <c r="G51" i="2" s="1"/>
  <c r="K51" i="2" s="1"/>
  <c r="E37" i="2"/>
  <c r="F37" i="2" s="1"/>
  <c r="R37" i="2" s="1"/>
  <c r="E44" i="2"/>
  <c r="E31" i="2"/>
  <c r="F31" i="2" s="1"/>
  <c r="G31" i="2" s="1"/>
  <c r="I31" i="2" s="1"/>
  <c r="E61" i="2"/>
  <c r="F61" i="2" s="1"/>
  <c r="G61" i="2" s="1"/>
  <c r="K61" i="2" s="1"/>
  <c r="G26" i="1"/>
  <c r="J26" i="1"/>
  <c r="E35" i="2"/>
  <c r="F35" i="2"/>
  <c r="R35" i="2" s="1"/>
  <c r="G24" i="1"/>
  <c r="I24" i="1"/>
  <c r="E23" i="1"/>
  <c r="F23" i="1"/>
  <c r="G23" i="1"/>
  <c r="I23" i="1"/>
  <c r="E74" i="2"/>
  <c r="F74" i="2" s="1"/>
  <c r="G74" i="2" s="1"/>
  <c r="K74" i="2" s="1"/>
  <c r="E59" i="2"/>
  <c r="E27" i="3" s="1"/>
  <c r="F59" i="2"/>
  <c r="G59" i="2" s="1"/>
  <c r="K59" i="2" s="1"/>
  <c r="E48" i="2"/>
  <c r="F48" i="2" s="1"/>
  <c r="G48" i="2" s="1"/>
  <c r="K48" i="2" s="1"/>
  <c r="E70" i="2"/>
  <c r="F70" i="2"/>
  <c r="G70" i="2" s="1"/>
  <c r="K70" i="2" s="1"/>
  <c r="E29" i="2"/>
  <c r="F29" i="2" s="1"/>
  <c r="G29" i="2" s="1"/>
  <c r="I29" i="2" s="1"/>
  <c r="E77" i="2"/>
  <c r="F77" i="2"/>
  <c r="G77" i="2" s="1"/>
  <c r="K77" i="2" s="1"/>
  <c r="E68" i="2"/>
  <c r="E35" i="3" s="1"/>
  <c r="E58" i="2"/>
  <c r="F58" i="2"/>
  <c r="G58" i="2"/>
  <c r="K58" i="2"/>
  <c r="E43" i="2"/>
  <c r="E17" i="3" s="1"/>
  <c r="F43" i="2"/>
  <c r="G43" i="2"/>
  <c r="K43" i="2" s="1"/>
  <c r="E49" i="2"/>
  <c r="E28" i="2"/>
  <c r="F28" i="2"/>
  <c r="G28" i="2"/>
  <c r="I28" i="2" s="1"/>
  <c r="E25" i="1"/>
  <c r="F25" i="1"/>
  <c r="G25" i="1"/>
  <c r="J25" i="1"/>
  <c r="E28" i="1"/>
  <c r="F28" i="1"/>
  <c r="G28" i="1"/>
  <c r="J28" i="1"/>
  <c r="E19" i="3"/>
  <c r="E41" i="2"/>
  <c r="E60" i="2"/>
  <c r="E28" i="3" s="1"/>
  <c r="E30" i="1"/>
  <c r="F30" i="1"/>
  <c r="G30" i="1"/>
  <c r="J30" i="1"/>
  <c r="E23" i="2"/>
  <c r="E73" i="2"/>
  <c r="F73" i="2"/>
  <c r="G73" i="2"/>
  <c r="K73" i="2" s="1"/>
  <c r="E22" i="1"/>
  <c r="F22" i="1"/>
  <c r="G22" i="1"/>
  <c r="I22" i="1"/>
  <c r="E22" i="2"/>
  <c r="E40" i="3" s="1"/>
  <c r="F22" i="2"/>
  <c r="G22" i="2"/>
  <c r="I22" i="2" s="1"/>
  <c r="E21" i="2"/>
  <c r="F21" i="2" s="1"/>
  <c r="G21" i="2" s="1"/>
  <c r="H21" i="2" s="1"/>
  <c r="G29" i="1"/>
  <c r="J29" i="1"/>
  <c r="E27" i="1"/>
  <c r="F27" i="1"/>
  <c r="G27" i="1"/>
  <c r="J27" i="1"/>
  <c r="E67" i="2"/>
  <c r="F67" i="2" s="1"/>
  <c r="G67" i="2" s="1"/>
  <c r="K67" i="2" s="1"/>
  <c r="E54" i="2"/>
  <c r="E22" i="3" s="1"/>
  <c r="E40" i="2"/>
  <c r="F40" i="2" s="1"/>
  <c r="G40" i="2" s="1"/>
  <c r="K40" i="2" s="1"/>
  <c r="E46" i="2"/>
  <c r="F46" i="2" s="1"/>
  <c r="G46" i="2" s="1"/>
  <c r="K46" i="2" s="1"/>
  <c r="E24" i="2"/>
  <c r="F24" i="2" s="1"/>
  <c r="G24" i="2" s="1"/>
  <c r="I24" i="2" s="1"/>
  <c r="F23" i="2"/>
  <c r="G23" i="2" s="1"/>
  <c r="I23" i="2" s="1"/>
  <c r="E41" i="3"/>
  <c r="E18" i="3"/>
  <c r="F44" i="2"/>
  <c r="G44" i="2" s="1"/>
  <c r="K44" i="2" s="1"/>
  <c r="E54" i="3"/>
  <c r="E12" i="3"/>
  <c r="C12" i="1"/>
  <c r="C16" i="1"/>
  <c r="D18" i="1"/>
  <c r="H21" i="1"/>
  <c r="C11" i="1"/>
  <c r="E37" i="3"/>
  <c r="F49" i="2"/>
  <c r="G49" i="2" s="1"/>
  <c r="K49" i="2" s="1"/>
  <c r="E55" i="3"/>
  <c r="F41" i="2"/>
  <c r="G41" i="2" s="1"/>
  <c r="K41" i="2" s="1"/>
  <c r="E15" i="3"/>
  <c r="F60" i="2"/>
  <c r="G60" i="2" s="1"/>
  <c r="K60" i="2" s="1"/>
  <c r="E14" i="3"/>
  <c r="E47" i="3"/>
  <c r="E58" i="3"/>
  <c r="E38" i="3"/>
  <c r="E11" i="3"/>
  <c r="O25" i="1"/>
  <c r="O22" i="1"/>
  <c r="O23" i="1"/>
  <c r="O30" i="1"/>
  <c r="O28" i="1"/>
  <c r="O26" i="1"/>
  <c r="O24" i="1"/>
  <c r="O29" i="1"/>
  <c r="O21" i="1"/>
  <c r="O27" i="1"/>
  <c r="E33" i="3" l="1"/>
  <c r="E56" i="3"/>
  <c r="F27" i="2"/>
  <c r="G27" i="2" s="1"/>
  <c r="F54" i="2"/>
  <c r="G54" i="2" s="1"/>
  <c r="K54" i="2" s="1"/>
  <c r="F68" i="2"/>
  <c r="G68" i="2" s="1"/>
  <c r="K68" i="2" s="1"/>
  <c r="E52" i="3"/>
  <c r="F55" i="2"/>
  <c r="G55" i="2" s="1"/>
  <c r="K55" i="2" s="1"/>
  <c r="F75" i="2"/>
  <c r="G75" i="2" s="1"/>
  <c r="K75" i="2" s="1"/>
  <c r="F65" i="2"/>
  <c r="G65" i="2" s="1"/>
  <c r="K65" i="2" s="1"/>
  <c r="E49" i="3"/>
  <c r="E34" i="3"/>
  <c r="E53" i="3"/>
  <c r="E42" i="3"/>
  <c r="C12" i="2"/>
  <c r="C11" i="2"/>
  <c r="O66" i="2" l="1"/>
  <c r="O49" i="2"/>
  <c r="O45" i="2"/>
  <c r="O32" i="2"/>
  <c r="O28" i="2"/>
  <c r="O54" i="2"/>
  <c r="O57" i="2"/>
  <c r="O29" i="2"/>
  <c r="O70" i="2"/>
  <c r="O76" i="2"/>
  <c r="O31" i="2"/>
  <c r="O67" i="2"/>
  <c r="O36" i="2"/>
  <c r="O27" i="2"/>
  <c r="O25" i="2"/>
  <c r="O59" i="2"/>
  <c r="O65" i="2"/>
  <c r="O79" i="2"/>
  <c r="O40" i="2"/>
  <c r="O38" i="2"/>
  <c r="O75" i="2"/>
  <c r="O73" i="2"/>
  <c r="O56" i="2"/>
  <c r="O74" i="2"/>
  <c r="O22" i="2"/>
  <c r="O61" i="2"/>
  <c r="O72" i="2"/>
  <c r="O53" i="2"/>
  <c r="O44" i="2"/>
  <c r="O55" i="2"/>
  <c r="O58" i="2"/>
  <c r="O62" i="2"/>
  <c r="O78" i="2"/>
  <c r="O39" i="2"/>
  <c r="O21" i="2"/>
  <c r="O51" i="2"/>
  <c r="O50" i="2"/>
  <c r="O42" i="2"/>
  <c r="O24" i="2"/>
  <c r="O77" i="2"/>
  <c r="C15" i="2"/>
  <c r="F18" i="2" s="1"/>
  <c r="F19" i="2" s="1"/>
  <c r="O23" i="2"/>
  <c r="O35" i="2"/>
  <c r="O68" i="2"/>
  <c r="O41" i="2"/>
  <c r="O48" i="2"/>
  <c r="O52" i="2"/>
  <c r="O34" i="2"/>
  <c r="O37" i="2"/>
  <c r="O60" i="2"/>
  <c r="O46" i="2"/>
  <c r="O71" i="2"/>
  <c r="O26" i="2"/>
  <c r="O47" i="2"/>
  <c r="O33" i="2"/>
  <c r="O64" i="2"/>
  <c r="O63" i="2"/>
  <c r="O43" i="2"/>
  <c r="O69" i="2"/>
  <c r="O30" i="2"/>
  <c r="C16" i="2"/>
  <c r="D18" i="2" s="1"/>
  <c r="I27" i="2"/>
  <c r="C18" i="2" l="1"/>
</calcChain>
</file>

<file path=xl/sharedStrings.xml><?xml version="1.0" encoding="utf-8"?>
<sst xmlns="http://schemas.openxmlformats.org/spreadsheetml/2006/main" count="648" uniqueCount="292">
  <si>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</si>
  <si>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</si>
  <si>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</si>
  <si>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</si>
  <si>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</si>
  <si>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</si>
  <si>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</si>
  <si>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</si>
  <si>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</si>
  <si>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</si>
  <si>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</si>
  <si>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</si>
  <si>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</si>
  <si>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</si>
  <si>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</si>
  <si>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</si>
  <si>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</si>
  <si>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</si>
  <si>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</si>
  <si>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</si>
  <si>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</si>
  <si>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</si>
  <si>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</si>
  <si>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</si>
  <si>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</si>
  <si>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</si>
  <si>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</si>
  <si>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</si>
  <si>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</si>
  <si>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</si>
  <si>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AQ Ser</t>
  </si>
  <si>
    <t>Paschke</t>
  </si>
  <si>
    <t>A</t>
  </si>
  <si>
    <t>BBSAG Bull.104</t>
  </si>
  <si>
    <t>B</t>
  </si>
  <si>
    <t>BBSAG Bull.107</t>
  </si>
  <si>
    <t>II</t>
  </si>
  <si>
    <t>BBSAG</t>
  </si>
  <si>
    <t>IBVS 5487</t>
  </si>
  <si>
    <t>IBVS 5577</t>
  </si>
  <si>
    <t>I</t>
  </si>
  <si>
    <t>IBVS</t>
  </si>
  <si>
    <t>See also page B</t>
  </si>
  <si>
    <t>AQ Ser / GSC 00340-00588</t>
  </si>
  <si>
    <t># of data points:</t>
  </si>
  <si>
    <t>IBVS 5657</t>
  </si>
  <si>
    <t>EB/DM</t>
  </si>
  <si>
    <t>My time zone &gt;&gt;&gt;&gt;&gt;</t>
  </si>
  <si>
    <t>(PST=8, PDT=MDT=7, MDT=CST=6, etc.)</t>
  </si>
  <si>
    <t>JD today</t>
  </si>
  <si>
    <t>New Cycle</t>
  </si>
  <si>
    <t>Next ToM</t>
  </si>
  <si>
    <t>IBVS 5764</t>
  </si>
  <si>
    <t>IBVS 5802</t>
  </si>
  <si>
    <t>Start of linear fit &gt;&gt;&gt;&gt;&gt;&gt;&gt;&gt;&gt;&gt;&gt;&gt;&gt;&gt;&gt;&gt;&gt;&gt;&gt;&gt;&gt;</t>
  </si>
  <si>
    <t>IBVS 5910</t>
  </si>
  <si>
    <t>IBVS 5670</t>
  </si>
  <si>
    <t>IBVS 5992</t>
  </si>
  <si>
    <t>IBVS 6014</t>
  </si>
  <si>
    <t>IBVS 6029</t>
  </si>
  <si>
    <t>BAD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</si>
  <si>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</si>
  <si>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</si>
  <si>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</si>
  <si>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</si>
  <si>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</si>
  <si>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</si>
  <si>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</si>
  <si>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</si>
  <si>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</si>
  <si>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</si>
  <si>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</si>
  <si>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</si>
  <si>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2428333.220 </t>
  </si>
  <si>
    <t> 13.06.1936 17:16 </t>
  </si>
  <si>
    <t> 0.000 </t>
  </si>
  <si>
    <t>V </t>
  </si>
  <si>
    <t> A.Soloviev </t>
  </si>
  <si>
    <t> CTAD 25.2 </t>
  </si>
  <si>
    <t>2428371.154 </t>
  </si>
  <si>
    <t> 21.07.1936 15:41 </t>
  </si>
  <si>
    <t> -0.032 </t>
  </si>
  <si>
    <t>2428655.561 </t>
  </si>
  <si>
    <t> 02.05.1937 01:27 </t>
  </si>
  <si>
    <t> 0.049 </t>
  </si>
  <si>
    <t> F.Lause </t>
  </si>
  <si>
    <t> AN 264.106 </t>
  </si>
  <si>
    <t>2428661.408 </t>
  </si>
  <si>
    <t> 07.05.1937 21:47 </t>
  </si>
  <si>
    <t> -0.010 </t>
  </si>
  <si>
    <t>2428679.129 </t>
  </si>
  <si>
    <t> 25.05.1937 15:05 </t>
  </si>
  <si>
    <t> -0.006 </t>
  </si>
  <si>
    <t> PZ 7.326 </t>
  </si>
  <si>
    <t>2428683.343 </t>
  </si>
  <si>
    <t> 29.05.1937 20:13 </t>
  </si>
  <si>
    <t> -0.011 </t>
  </si>
  <si>
    <t>2428688.422 </t>
  </si>
  <si>
    <t> 03.06.1937 22:07 </t>
  </si>
  <si>
    <t> 0.006 </t>
  </si>
  <si>
    <t>2428693.501 </t>
  </si>
  <si>
    <t> 09.06.1937 00:01 </t>
  </si>
  <si>
    <t> 0.023 </t>
  </si>
  <si>
    <t>2428698.542 </t>
  </si>
  <si>
    <t> 14.06.1937 01:00 </t>
  </si>
  <si>
    <t> 0.002 </t>
  </si>
  <si>
    <t>2428742.380 </t>
  </si>
  <si>
    <t> 27.07.1937 21:07 </t>
  </si>
  <si>
    <t>2428753.376 </t>
  </si>
  <si>
    <t> 07.08.1937 21:01 </t>
  </si>
  <si>
    <t> -0.004 </t>
  </si>
  <si>
    <t>2428780.320 </t>
  </si>
  <si>
    <t> 03.09.1937 19:40 </t>
  </si>
  <si>
    <t> -0.059 </t>
  </si>
  <si>
    <t>2429200.539 </t>
  </si>
  <si>
    <t> 29.10.1938 00:56 </t>
  </si>
  <si>
    <t>2431254.110 </t>
  </si>
  <si>
    <t> 12.06.1944 14:38 </t>
  </si>
  <si>
    <t> 0.016 </t>
  </si>
  <si>
    <t> W.Zessewitsch </t>
  </si>
  <si>
    <t> IODE 4.3.15 </t>
  </si>
  <si>
    <t>2449066.635 </t>
  </si>
  <si>
    <t> 20.03.1993 03:14 </t>
  </si>
  <si>
    <t> 0.442 </t>
  </si>
  <si>
    <t>E </t>
  </si>
  <si>
    <t>?</t>
  </si>
  <si>
    <t> A.Paschke </t>
  </si>
  <si>
    <t> BBS 104 </t>
  </si>
  <si>
    <t>2449094.53 </t>
  </si>
  <si>
    <t> 17.04.1993 00:43 </t>
  </si>
  <si>
    <t> 0.49 </t>
  </si>
  <si>
    <t>2449472.507 </t>
  </si>
  <si>
    <t> 30.04.1994 00:10 </t>
  </si>
  <si>
    <t> 0.496 </t>
  </si>
  <si>
    <t> BBS 107 </t>
  </si>
  <si>
    <t>2451664.4713 </t>
  </si>
  <si>
    <t> 29.04.2000 23:18 </t>
  </si>
  <si>
    <t> 0.5396 </t>
  </si>
  <si>
    <t> M.Haltuf </t>
  </si>
  <si>
    <t> BRNO 32 </t>
  </si>
  <si>
    <t>2453076.8397 </t>
  </si>
  <si>
    <t> 12.03.2004 08:09 </t>
  </si>
  <si>
    <t> 0.5618 </t>
  </si>
  <si>
    <t> C.Lacy </t>
  </si>
  <si>
    <t>IBVS 5577 </t>
  </si>
  <si>
    <t>2453109.7432 </t>
  </si>
  <si>
    <t> 14.04.2004 05:50 </t>
  </si>
  <si>
    <t> 0.5611 </t>
  </si>
  <si>
    <t>2453131.6808 </t>
  </si>
  <si>
    <t> 06.05.2004 04:20 </t>
  </si>
  <si>
    <t> 0.5627 </t>
  </si>
  <si>
    <t>2453169.6480 </t>
  </si>
  <si>
    <t> 13.06.2004 03:33 </t>
  </si>
  <si>
    <t> 0.5636 </t>
  </si>
  <si>
    <t>2453389.0149 </t>
  </si>
  <si>
    <t> 18.01.2005 12:21 </t>
  </si>
  <si>
    <t> 0.5696 </t>
  </si>
  <si>
    <t> C. Lacy </t>
  </si>
  <si>
    <t>IBVS 5670 </t>
  </si>
  <si>
    <t>2453399.9822 </t>
  </si>
  <si>
    <t> 29.01.2005 11:34 </t>
  </si>
  <si>
    <t> 0.5689 </t>
  </si>
  <si>
    <t>2453470.8549 </t>
  </si>
  <si>
    <t> 10.04.2005 08:31 </t>
  </si>
  <si>
    <t> 0.5712 </t>
  </si>
  <si>
    <t>2453476.7603 </t>
  </si>
  <si>
    <t> 16.04.2005 06:14 </t>
  </si>
  <si>
    <t> 0.5707 </t>
  </si>
  <si>
    <t>2453481.8228 </t>
  </si>
  <si>
    <t> 21.04.2005 07:44 </t>
  </si>
  <si>
    <t> 0.5710 </t>
  </si>
  <si>
    <t>2453508.823 </t>
  </si>
  <si>
    <t> 18.05.2005 07:45 </t>
  </si>
  <si>
    <t> 0.573 </t>
  </si>
  <si>
    <t>2453510.5107 </t>
  </si>
  <si>
    <t> 20.05.2005 00:15 </t>
  </si>
  <si>
    <t> 0.5733 </t>
  </si>
  <si>
    <t>-I</t>
  </si>
  <si>
    <t> P.Frank </t>
  </si>
  <si>
    <t>BAVM 173 </t>
  </si>
  <si>
    <t>2453516.4161 </t>
  </si>
  <si>
    <t> 25.05.2005 21:59 </t>
  </si>
  <si>
    <t>14924</t>
  </si>
  <si>
    <t> 0.5728 </t>
  </si>
  <si>
    <t>2453740.0003 </t>
  </si>
  <si>
    <t> 04.01.2006 12:00 </t>
  </si>
  <si>
    <t>15056.5</t>
  </si>
  <si>
    <t> 0.5777 </t>
  </si>
  <si>
    <t>C </t>
  </si>
  <si>
    <t>IBVS 5764 </t>
  </si>
  <si>
    <t>2453766.9983 </t>
  </si>
  <si>
    <t> 31.01.2006 11:57 </t>
  </si>
  <si>
    <t>15072.5</t>
  </si>
  <si>
    <t> 0.5775 </t>
  </si>
  <si>
    <t>2453777.966 </t>
  </si>
  <si>
    <t> 11.02.2006 11:11 </t>
  </si>
  <si>
    <t>15079</t>
  </si>
  <si>
    <t> 0.577 </t>
  </si>
  <si>
    <t>2453788.9354 </t>
  </si>
  <si>
    <t> 22.02.2006 10:26 </t>
  </si>
  <si>
    <t>15085.5</t>
  </si>
  <si>
    <t> 0.5785 </t>
  </si>
  <si>
    <t>2453837.8704 </t>
  </si>
  <si>
    <t> 12.04.2006 08:53 </t>
  </si>
  <si>
    <t>15114.5</t>
  </si>
  <si>
    <t> 0.5791 </t>
  </si>
  <si>
    <t>2453842.9333 </t>
  </si>
  <si>
    <t> 17.04.2006 10:23 </t>
  </si>
  <si>
    <t>15117.5</t>
  </si>
  <si>
    <t> 0.5799 </t>
  </si>
  <si>
    <t>2453843.7773 </t>
  </si>
  <si>
    <t> 18.04.2006 06:39 </t>
  </si>
  <si>
    <t>15118</t>
  </si>
  <si>
    <t> 0.5802 </t>
  </si>
  <si>
    <t>2453907.0552 </t>
  </si>
  <si>
    <t> 20.06.2006 13:19 </t>
  </si>
  <si>
    <t>15155.5</t>
  </si>
  <si>
    <t> 0.5809 </t>
  </si>
  <si>
    <t> K. Nagai et al. </t>
  </si>
  <si>
    <t>VSB 45 </t>
  </si>
  <si>
    <t>2454171.9817 </t>
  </si>
  <si>
    <t> 12.03.2007 11:33 </t>
  </si>
  <si>
    <t>15312.5</t>
  </si>
  <si>
    <t> 0.5870 </t>
  </si>
  <si>
    <t>2454207.4151 </t>
  </si>
  <si>
    <t> 16.04.2007 21:57 </t>
  </si>
  <si>
    <t>15333.5</t>
  </si>
  <si>
    <t> 0.5852 </t>
  </si>
  <si>
    <t>BAVM 186 </t>
  </si>
  <si>
    <t>2454210.7929 </t>
  </si>
  <si>
    <t> 20.04.2007 07:01 </t>
  </si>
  <si>
    <t>15335.5</t>
  </si>
  <si>
    <t> 0.5882 </t>
  </si>
  <si>
    <t>IBVS 5910 </t>
  </si>
  <si>
    <t>2454221.7613 </t>
  </si>
  <si>
    <t> 01.05.2007 06:16 </t>
  </si>
  <si>
    <t>15342</t>
  </si>
  <si>
    <t> 0.5886 </t>
  </si>
  <si>
    <t>2454242.8536 </t>
  </si>
  <si>
    <t> 22.05.2007 08:29 </t>
  </si>
  <si>
    <t>15354.5</t>
  </si>
  <si>
    <t> 0.5885 </t>
  </si>
  <si>
    <t>2454259.7283 </t>
  </si>
  <si>
    <t> 08.06.2007 05:28 </t>
  </si>
  <si>
    <t>15364.5</t>
  </si>
  <si>
    <t> 0.5893 </t>
  </si>
  <si>
    <t>2454559.2499 </t>
  </si>
  <si>
    <t> 02.04.2008 17:59 </t>
  </si>
  <si>
    <t>15542</t>
  </si>
  <si>
    <t> 0.5990 </t>
  </si>
  <si>
    <t>Ic</t>
  </si>
  <si>
    <t> K.Nakajima </t>
  </si>
  <si>
    <t>VSB 48 </t>
  </si>
  <si>
    <t>2454614.0881 </t>
  </si>
  <si>
    <t> 27.05.2008 14:06 </t>
  </si>
  <si>
    <t>15574.5</t>
  </si>
  <si>
    <t> 0.5970 </t>
  </si>
  <si>
    <t>Rc</t>
  </si>
  <si>
    <t> K.Nagai </t>
  </si>
  <si>
    <t>2455277.2515 </t>
  </si>
  <si>
    <t> 21.03.2010 18:02 </t>
  </si>
  <si>
    <t>15967.5</t>
  </si>
  <si>
    <t> 0.6157 </t>
  </si>
  <si>
    <t>VSB 51 </t>
  </si>
  <si>
    <t>2455656.9207 </t>
  </si>
  <si>
    <t> 05.04.2011 10:05 </t>
  </si>
  <si>
    <t>16192.5</t>
  </si>
  <si>
    <t> 0.6219 </t>
  </si>
  <si>
    <t> R.Diethelm </t>
  </si>
  <si>
    <t>IBVS 5992 </t>
  </si>
  <si>
    <t>2455760.6989 </t>
  </si>
  <si>
    <t> 18.07.2011 04:46 </t>
  </si>
  <si>
    <t>16254</t>
  </si>
  <si>
    <t> 0.6256 </t>
  </si>
  <si>
    <t>IBVS 6014 </t>
  </si>
  <si>
    <t>2456018.8745 </t>
  </si>
  <si>
    <t> 01.04.2012 08:59 </t>
  </si>
  <si>
    <t>16407</t>
  </si>
  <si>
    <t> 0.6304 </t>
  </si>
  <si>
    <t>IBVS 6029 </t>
  </si>
  <si>
    <t>2457176.4503 </t>
  </si>
  <si>
    <t> 02.06.2015 22:48 </t>
  </si>
  <si>
    <t>17093</t>
  </si>
  <si>
    <t> 0.6559 </t>
  </si>
  <si>
    <t> F.Agerer </t>
  </si>
  <si>
    <t>BAVM 241 (=IBVS 6157) </t>
  </si>
  <si>
    <t>IBVS 6157</t>
  </si>
  <si>
    <t>OEJV 0211</t>
  </si>
  <si>
    <t>Add cycle</t>
  </si>
  <si>
    <t>Old Cycle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</si>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</sst>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7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6" fillId="0" borderId="1" applyNumberFormat="0" applyFont="0" applyFill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wrapText="1"/>
    </xf>
    <xf numFmtId="0" fontId="10" fillId="0" borderId="0" xfId="0" applyFont="1" applyAlignment="1"/>
    <xf numFmtId="0" fontId="0" fillId="0" borderId="0" xfId="0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/>
    <xf numFmtId="0" fontId="0" fillId="0" borderId="0" xfId="0">
      <alignment vertical="top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2" fillId="2" borderId="12" xfId="7" applyFill="1" applyBorder="1" applyAlignment="1" applyProtection="1">
      <alignment horizontal="right" vertical="top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9" fillId="0" borderId="0" xfId="8" applyFont="1" applyAlignment="1">
      <alignment vertical="center"/>
    </xf>
    <xf numFmtId="0" fontId="19" fillId="0" borderId="0" xfId="8" applyFont="1" applyAlignment="1">
      <alignment horizontal="center" vertical="center"/>
    </xf>
    <xf numFmtId="0" fontId="19" fillId="0" borderId="0" xfId="8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165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Ser - O-C Diagr.</a:t>
            </a:r>
          </a:p>
        </c:rich>
      </c:tx>
      <c:layout>
        <c:manualLayout>
          <c:xMode val="edge"/>
          <c:yMode val="edge"/>
          <c:x val="0.37373790397412443"/>
          <c:y val="3.437496466787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6488725945533"/>
          <c:y val="0.15"/>
          <c:w val="0.80134811879885903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30-4330-8B5F-C7794B2CA8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">
                  <c:v>-3.3159153925225837E-2</c:v>
                </c:pt>
                <c:pt idx="2">
                  <c:v>4.2004515576991253E-2</c:v>
                </c:pt>
                <c:pt idx="3">
                  <c:v>-1.6998019480524817E-2</c:v>
                </c:pt>
                <c:pt idx="4">
                  <c:v>-1.4005624641868053E-2</c:v>
                </c:pt>
                <c:pt idx="5">
                  <c:v>-1.8578863968286896E-2</c:v>
                </c:pt>
                <c:pt idx="6">
                  <c:v>-1.8667511612875387E-3</c:v>
                </c:pt>
                <c:pt idx="7">
                  <c:v>1.4845361652987776E-2</c:v>
                </c:pt>
                <c:pt idx="8">
                  <c:v>-6.4425255368405487E-3</c:v>
                </c:pt>
                <c:pt idx="9">
                  <c:v>-4.1604214515245985E-2</c:v>
                </c:pt>
                <c:pt idx="10">
                  <c:v>-1.3894636762415757E-2</c:v>
                </c:pt>
                <c:pt idx="11">
                  <c:v>-6.876336844288744E-2</c:v>
                </c:pt>
                <c:pt idx="12">
                  <c:v>-1.9658005203382345E-2</c:v>
                </c:pt>
                <c:pt idx="13">
                  <c:v>-5.0110908567148726E-2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30-4330-8B5F-C7794B2CA8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30-4330-8B5F-C7794B2CA8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7">
                  <c:v>1.0142589650058653E-2</c:v>
                </c:pt>
                <c:pt idx="18">
                  <c:v>-8.3576836914289743E-5</c:v>
                </c:pt>
                <c:pt idx="19">
                  <c:v>3.260009252699092E-4</c:v>
                </c:pt>
                <c:pt idx="20">
                  <c:v>2.2206366702448577E-4</c:v>
                </c:pt>
                <c:pt idx="21">
                  <c:v>-1.1492030680528842E-3</c:v>
                </c:pt>
                <c:pt idx="22">
                  <c:v>-1.3004755601286888E-4</c:v>
                </c:pt>
                <c:pt idx="23">
                  <c:v>-8.9201479568146169E-5</c:v>
                </c:pt>
                <c:pt idx="24">
                  <c:v>1.0023536233347841E-3</c:v>
                </c:pt>
                <c:pt idx="25">
                  <c:v>1.1931377230212092E-5</c:v>
                </c:pt>
                <c:pt idx="26">
                  <c:v>4.1931380110327154E-5</c:v>
                </c:pt>
                <c:pt idx="27">
                  <c:v>6.6151072678621858E-4</c:v>
                </c:pt>
                <c:pt idx="28">
                  <c:v>6.8151072628097609E-4</c:v>
                </c:pt>
                <c:pt idx="29">
                  <c:v>7.8975666838232428E-5</c:v>
                </c:pt>
                <c:pt idx="30">
                  <c:v>2.4108847719617188E-4</c:v>
                </c:pt>
                <c:pt idx="31">
                  <c:v>2.9108847957104445E-4</c:v>
                </c:pt>
                <c:pt idx="32">
                  <c:v>1.6223567945417017E-3</c:v>
                </c:pt>
                <c:pt idx="33">
                  <c:v>1.8930610676761717E-3</c:v>
                </c:pt>
                <c:pt idx="34">
                  <c:v>1.2905260155093856E-3</c:v>
                </c:pt>
                <c:pt idx="35">
                  <c:v>1.1088417959399521E-3</c:v>
                </c:pt>
                <c:pt idx="36">
                  <c:v>2.4011011555558071E-4</c:v>
                </c:pt>
                <c:pt idx="37">
                  <c:v>-3.5031212610192597E-4</c:v>
                </c:pt>
                <c:pt idx="38">
                  <c:v>7.5926562567474321E-4</c:v>
                </c:pt>
                <c:pt idx="39">
                  <c:v>3.0968945065978914E-4</c:v>
                </c:pt>
                <c:pt idx="40">
                  <c:v>9.2180226783966646E-4</c:v>
                </c:pt>
                <c:pt idx="41">
                  <c:v>1.2071544042555615E-3</c:v>
                </c:pt>
                <c:pt idx="42">
                  <c:v>5.0856453162850812E-4</c:v>
                </c:pt>
                <c:pt idx="43">
                  <c:v>6.0913492052350193E-4</c:v>
                </c:pt>
                <c:pt idx="44">
                  <c:v>-2.0060754031874239E-3</c:v>
                </c:pt>
                <c:pt idx="45">
                  <c:v>9.3533313338411972E-4</c:v>
                </c:pt>
                <c:pt idx="46">
                  <c:v>1.0449108885950409E-3</c:v>
                </c:pt>
                <c:pt idx="47">
                  <c:v>4.7871426795609295E-4</c:v>
                </c:pt>
                <c:pt idx="48">
                  <c:v>8.8575696281623095E-4</c:v>
                </c:pt>
                <c:pt idx="49">
                  <c:v>3.7857649003854021E-3</c:v>
                </c:pt>
                <c:pt idx="50">
                  <c:v>5.3365367784863338E-4</c:v>
                </c:pt>
                <c:pt idx="51">
                  <c:v>4.2204317942378111E-3</c:v>
                </c:pt>
                <c:pt idx="52">
                  <c:v>1.8288925566594116E-3</c:v>
                </c:pt>
                <c:pt idx="53">
                  <c:v>3.1272051637643017E-3</c:v>
                </c:pt>
                <c:pt idx="54">
                  <c:v>2.0449584771995433E-3</c:v>
                </c:pt>
                <c:pt idx="55">
                  <c:v>1.3480877169058658E-3</c:v>
                </c:pt>
                <c:pt idx="56">
                  <c:v>5.1017764199059457E-3</c:v>
                </c:pt>
                <c:pt idx="58">
                  <c:v>5.8126524745603092E-3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30-4330-8B5F-C7794B2CA8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30-4330-8B5F-C7794B2CA8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30-4330-8B5F-C7794B2CA8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30-4330-8B5F-C7794B2CA8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-1.9677866222228464E-2</c:v>
                </c:pt>
                <c:pt idx="1">
                  <c:v>-1.96418742383947E-2</c:v>
                </c:pt>
                <c:pt idx="2">
                  <c:v>-1.9372334270572954E-2</c:v>
                </c:pt>
                <c:pt idx="3">
                  <c:v>-1.9366735517532145E-2</c:v>
                </c:pt>
                <c:pt idx="4">
                  <c:v>-1.9349939258409721E-2</c:v>
                </c:pt>
                <c:pt idx="5">
                  <c:v>-1.934594014909486E-2</c:v>
                </c:pt>
                <c:pt idx="6">
                  <c:v>-1.9341141217917024E-2</c:v>
                </c:pt>
                <c:pt idx="7">
                  <c:v>-1.9336342286739187E-2</c:v>
                </c:pt>
                <c:pt idx="8">
                  <c:v>-1.9331543355561354E-2</c:v>
                </c:pt>
                <c:pt idx="9">
                  <c:v>-1.9289952618686781E-2</c:v>
                </c:pt>
                <c:pt idx="10">
                  <c:v>-1.9279554934468139E-2</c:v>
                </c:pt>
                <c:pt idx="11">
                  <c:v>-1.9253960634853018E-2</c:v>
                </c:pt>
                <c:pt idx="12">
                  <c:v>-1.8855649347092693E-2</c:v>
                </c:pt>
                <c:pt idx="13">
                  <c:v>-1.6908882932617532E-2</c:v>
                </c:pt>
                <c:pt idx="14">
                  <c:v>-2.3043761541271385E-5</c:v>
                </c:pt>
                <c:pt idx="15">
                  <c:v>3.3503599368225889E-6</c:v>
                </c:pt>
                <c:pt idx="16">
                  <c:v>3.6167055454851965E-4</c:v>
                </c:pt>
                <c:pt idx="17">
                  <c:v>2.4396077545511784E-3</c:v>
                </c:pt>
                <c:pt idx="18">
                  <c:v>3.5385629942754487E-3</c:v>
                </c:pt>
                <c:pt idx="19">
                  <c:v>3.5489606784940911E-3</c:v>
                </c:pt>
                <c:pt idx="20">
                  <c:v>3.7785095531672093E-3</c:v>
                </c:pt>
                <c:pt idx="21">
                  <c:v>3.8097026058231398E-3</c:v>
                </c:pt>
                <c:pt idx="22">
                  <c:v>3.8304979742604245E-3</c:v>
                </c:pt>
                <c:pt idx="23">
                  <c:v>3.8664899580941915E-3</c:v>
                </c:pt>
                <c:pt idx="24">
                  <c:v>4.0744436424670488E-3</c:v>
                </c:pt>
                <c:pt idx="25">
                  <c:v>4.0848413266856946E-3</c:v>
                </c:pt>
                <c:pt idx="26">
                  <c:v>4.0848413266856946E-3</c:v>
                </c:pt>
                <c:pt idx="27">
                  <c:v>4.1520263631753852E-3</c:v>
                </c:pt>
                <c:pt idx="28">
                  <c:v>4.1520263631753852E-3</c:v>
                </c:pt>
                <c:pt idx="29">
                  <c:v>4.1576251162161945E-3</c:v>
                </c:pt>
                <c:pt idx="30">
                  <c:v>4.162424047394031E-3</c:v>
                </c:pt>
                <c:pt idx="31">
                  <c:v>4.162424047394031E-3</c:v>
                </c:pt>
                <c:pt idx="32">
                  <c:v>4.1880183470091523E-3</c:v>
                </c:pt>
                <c:pt idx="33">
                  <c:v>4.1896179907350978E-3</c:v>
                </c:pt>
                <c:pt idx="34">
                  <c:v>4.1952167437759036E-3</c:v>
                </c:pt>
                <c:pt idx="35">
                  <c:v>4.4071695374636281E-3</c:v>
                </c:pt>
                <c:pt idx="36">
                  <c:v>4.4327638370787494E-3</c:v>
                </c:pt>
                <c:pt idx="37">
                  <c:v>4.4431615212973917E-3</c:v>
                </c:pt>
                <c:pt idx="38">
                  <c:v>4.453559205516034E-3</c:v>
                </c:pt>
                <c:pt idx="39">
                  <c:v>4.4999488735684399E-3</c:v>
                </c:pt>
                <c:pt idx="40">
                  <c:v>4.5047478047462765E-3</c:v>
                </c:pt>
                <c:pt idx="41">
                  <c:v>4.5055476266092492E-3</c:v>
                </c:pt>
                <c:pt idx="42">
                  <c:v>4.5655342663321885E-3</c:v>
                </c:pt>
                <c:pt idx="43">
                  <c:v>4.8166783313055676E-3</c:v>
                </c:pt>
                <c:pt idx="44">
                  <c:v>4.8502708495504129E-3</c:v>
                </c:pt>
                <c:pt idx="45">
                  <c:v>4.853470137002304E-3</c:v>
                </c:pt>
                <c:pt idx="46">
                  <c:v>4.8638678212209463E-3</c:v>
                </c:pt>
                <c:pt idx="47">
                  <c:v>4.8838633677952617E-3</c:v>
                </c:pt>
                <c:pt idx="48">
                  <c:v>4.8998598050547099E-3</c:v>
                </c:pt>
                <c:pt idx="49">
                  <c:v>5.1837965664099615E-3</c:v>
                </c:pt>
                <c:pt idx="50">
                  <c:v>5.2357849875031767E-3</c:v>
                </c:pt>
                <c:pt idx="51">
                  <c:v>5.8644449717995956E-3</c:v>
                </c:pt>
                <c:pt idx="52">
                  <c:v>6.2243648101372381E-3</c:v>
                </c:pt>
                <c:pt idx="53">
                  <c:v>6.3227428992828592E-3</c:v>
                </c:pt>
                <c:pt idx="54">
                  <c:v>6.5674883893524563E-3</c:v>
                </c:pt>
                <c:pt idx="55">
                  <c:v>7.6648439853507812E-3</c:v>
                </c:pt>
                <c:pt idx="56">
                  <c:v>8.61583218042513E-3</c:v>
                </c:pt>
                <c:pt idx="57">
                  <c:v>9.7011904484788671E-3</c:v>
                </c:pt>
                <c:pt idx="58">
                  <c:v>9.730783857408852E-3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30-4330-8B5F-C7794B2CA83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Active!$D$21:$D$70</c:f>
                <c:numCache>
                  <c:formatCode>General</c:formatCode>
                  <c:ptCount val="5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</c:numCache>
              </c:numRef>
            </c:plus>
            <c:minus>
              <c:numRef>
                <c:f>Active!$D$21:$D$70</c:f>
                <c:numCache>
                  <c:formatCode>General</c:formatCode>
                  <c:ptCount val="5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Active!$R$21:$R$990</c:f>
              <c:numCache>
                <c:formatCode>General</c:formatCode>
                <c:ptCount val="970"/>
                <c:pt idx="14">
                  <c:v>-2.8756634070305154E-2</c:v>
                </c:pt>
                <c:pt idx="15">
                  <c:v>2.3659986385609955E-2</c:v>
                </c:pt>
                <c:pt idx="16">
                  <c:v>1.6497742872161325E-2</c:v>
                </c:pt>
                <c:pt idx="57">
                  <c:v>0.13455462347337743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30-4330-8B5F-C7794B2CA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872528"/>
        <c:axId val="1"/>
      </c:scatterChart>
      <c:valAx>
        <c:axId val="1208872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5340898044315"/>
              <c:y val="0.834374964667877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88552188552187E-2"/>
              <c:y val="0.365625035332121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8872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784764844670067E-2"/>
          <c:y val="0.92419419270704373"/>
          <c:w val="0.900674814638069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Ser - O-C Diagr.</a:t>
            </a:r>
          </a:p>
        </c:rich>
      </c:tx>
      <c:layout>
        <c:manualLayout>
          <c:xMode val="edge"/>
          <c:yMode val="edge"/>
          <c:x val="0.37373792981759635"/>
          <c:y val="3.4375150958890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6488725945533"/>
          <c:y val="0.15"/>
          <c:w val="0.80134811879885903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5E-4986-82F2-257C441503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">
                  <c:v>-3.3159153925225837E-2</c:v>
                </c:pt>
                <c:pt idx="2">
                  <c:v>4.2004515576991253E-2</c:v>
                </c:pt>
                <c:pt idx="3">
                  <c:v>-1.6998019480524817E-2</c:v>
                </c:pt>
                <c:pt idx="4">
                  <c:v>-1.4005624641868053E-2</c:v>
                </c:pt>
                <c:pt idx="5">
                  <c:v>-1.8578863968286896E-2</c:v>
                </c:pt>
                <c:pt idx="6">
                  <c:v>-1.8667511612875387E-3</c:v>
                </c:pt>
                <c:pt idx="7">
                  <c:v>1.4845361652987776E-2</c:v>
                </c:pt>
                <c:pt idx="8">
                  <c:v>-6.4425255368405487E-3</c:v>
                </c:pt>
                <c:pt idx="9">
                  <c:v>-4.1604214515245985E-2</c:v>
                </c:pt>
                <c:pt idx="10">
                  <c:v>-1.3894636762415757E-2</c:v>
                </c:pt>
                <c:pt idx="11">
                  <c:v>-6.876336844288744E-2</c:v>
                </c:pt>
                <c:pt idx="12">
                  <c:v>-1.9658005203382345E-2</c:v>
                </c:pt>
                <c:pt idx="13">
                  <c:v>-5.0110908567148726E-2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5E-4986-82F2-257C441503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5E-4986-82F2-257C441503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7">
                  <c:v>1.0142589650058653E-2</c:v>
                </c:pt>
                <c:pt idx="18">
                  <c:v>-8.3576836914289743E-5</c:v>
                </c:pt>
                <c:pt idx="19">
                  <c:v>3.260009252699092E-4</c:v>
                </c:pt>
                <c:pt idx="20">
                  <c:v>2.2206366702448577E-4</c:v>
                </c:pt>
                <c:pt idx="21">
                  <c:v>-1.1492030680528842E-3</c:v>
                </c:pt>
                <c:pt idx="22">
                  <c:v>-1.3004755601286888E-4</c:v>
                </c:pt>
                <c:pt idx="23">
                  <c:v>-8.9201479568146169E-5</c:v>
                </c:pt>
                <c:pt idx="24">
                  <c:v>1.0023536233347841E-3</c:v>
                </c:pt>
                <c:pt idx="25">
                  <c:v>1.1931377230212092E-5</c:v>
                </c:pt>
                <c:pt idx="26">
                  <c:v>4.1931380110327154E-5</c:v>
                </c:pt>
                <c:pt idx="27">
                  <c:v>6.6151072678621858E-4</c:v>
                </c:pt>
                <c:pt idx="28">
                  <c:v>6.8151072628097609E-4</c:v>
                </c:pt>
                <c:pt idx="29">
                  <c:v>7.8975666838232428E-5</c:v>
                </c:pt>
                <c:pt idx="30">
                  <c:v>2.4108847719617188E-4</c:v>
                </c:pt>
                <c:pt idx="31">
                  <c:v>2.9108847957104445E-4</c:v>
                </c:pt>
                <c:pt idx="32">
                  <c:v>1.6223567945417017E-3</c:v>
                </c:pt>
                <c:pt idx="33">
                  <c:v>1.8930610676761717E-3</c:v>
                </c:pt>
                <c:pt idx="34">
                  <c:v>1.2905260155093856E-3</c:v>
                </c:pt>
                <c:pt idx="35">
                  <c:v>1.1088417959399521E-3</c:v>
                </c:pt>
                <c:pt idx="36">
                  <c:v>2.4011011555558071E-4</c:v>
                </c:pt>
                <c:pt idx="37">
                  <c:v>-3.5031212610192597E-4</c:v>
                </c:pt>
                <c:pt idx="38">
                  <c:v>7.5926562567474321E-4</c:v>
                </c:pt>
                <c:pt idx="39">
                  <c:v>3.0968945065978914E-4</c:v>
                </c:pt>
                <c:pt idx="40">
                  <c:v>9.2180226783966646E-4</c:v>
                </c:pt>
                <c:pt idx="41">
                  <c:v>1.2071544042555615E-3</c:v>
                </c:pt>
                <c:pt idx="42">
                  <c:v>5.0856453162850812E-4</c:v>
                </c:pt>
                <c:pt idx="43">
                  <c:v>6.0913492052350193E-4</c:v>
                </c:pt>
                <c:pt idx="44">
                  <c:v>-2.0060754031874239E-3</c:v>
                </c:pt>
                <c:pt idx="45">
                  <c:v>9.3533313338411972E-4</c:v>
                </c:pt>
                <c:pt idx="46">
                  <c:v>1.0449108885950409E-3</c:v>
                </c:pt>
                <c:pt idx="47">
                  <c:v>4.7871426795609295E-4</c:v>
                </c:pt>
                <c:pt idx="48">
                  <c:v>8.8575696281623095E-4</c:v>
                </c:pt>
                <c:pt idx="49">
                  <c:v>3.7857649003854021E-3</c:v>
                </c:pt>
                <c:pt idx="50">
                  <c:v>5.3365367784863338E-4</c:v>
                </c:pt>
                <c:pt idx="51">
                  <c:v>4.2204317942378111E-3</c:v>
                </c:pt>
                <c:pt idx="52">
                  <c:v>1.8288925566594116E-3</c:v>
                </c:pt>
                <c:pt idx="53">
                  <c:v>3.1272051637643017E-3</c:v>
                </c:pt>
                <c:pt idx="54">
                  <c:v>2.0449584771995433E-3</c:v>
                </c:pt>
                <c:pt idx="55">
                  <c:v>1.3480877169058658E-3</c:v>
                </c:pt>
                <c:pt idx="56">
                  <c:v>5.1017764199059457E-3</c:v>
                </c:pt>
                <c:pt idx="58">
                  <c:v>5.8126524745603092E-3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5E-4986-82F2-257C441503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5E-4986-82F2-257C441503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5E-4986-82F2-257C441503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52">
                    <c:v>5.9999999999999995E-4</c:v>
                  </c:pt>
                  <c:pt idx="53">
                    <c:v>5.0000000000000001E-4</c:v>
                  </c:pt>
                  <c:pt idx="54">
                    <c:v>2.0000000000000001E-4</c:v>
                  </c:pt>
                  <c:pt idx="55">
                    <c:v>2.3E-3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5E-4986-82F2-257C441503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-1.9677866222228464E-2</c:v>
                </c:pt>
                <c:pt idx="1">
                  <c:v>-1.96418742383947E-2</c:v>
                </c:pt>
                <c:pt idx="2">
                  <c:v>-1.9372334270572954E-2</c:v>
                </c:pt>
                <c:pt idx="3">
                  <c:v>-1.9366735517532145E-2</c:v>
                </c:pt>
                <c:pt idx="4">
                  <c:v>-1.9349939258409721E-2</c:v>
                </c:pt>
                <c:pt idx="5">
                  <c:v>-1.934594014909486E-2</c:v>
                </c:pt>
                <c:pt idx="6">
                  <c:v>-1.9341141217917024E-2</c:v>
                </c:pt>
                <c:pt idx="7">
                  <c:v>-1.9336342286739187E-2</c:v>
                </c:pt>
                <c:pt idx="8">
                  <c:v>-1.9331543355561354E-2</c:v>
                </c:pt>
                <c:pt idx="9">
                  <c:v>-1.9289952618686781E-2</c:v>
                </c:pt>
                <c:pt idx="10">
                  <c:v>-1.9279554934468139E-2</c:v>
                </c:pt>
                <c:pt idx="11">
                  <c:v>-1.9253960634853018E-2</c:v>
                </c:pt>
                <c:pt idx="12">
                  <c:v>-1.8855649347092693E-2</c:v>
                </c:pt>
                <c:pt idx="13">
                  <c:v>-1.6908882932617532E-2</c:v>
                </c:pt>
                <c:pt idx="14">
                  <c:v>-2.3043761541271385E-5</c:v>
                </c:pt>
                <c:pt idx="15">
                  <c:v>3.3503599368225889E-6</c:v>
                </c:pt>
                <c:pt idx="16">
                  <c:v>3.6167055454851965E-4</c:v>
                </c:pt>
                <c:pt idx="17">
                  <c:v>2.4396077545511784E-3</c:v>
                </c:pt>
                <c:pt idx="18">
                  <c:v>3.5385629942754487E-3</c:v>
                </c:pt>
                <c:pt idx="19">
                  <c:v>3.5489606784940911E-3</c:v>
                </c:pt>
                <c:pt idx="20">
                  <c:v>3.7785095531672093E-3</c:v>
                </c:pt>
                <c:pt idx="21">
                  <c:v>3.8097026058231398E-3</c:v>
                </c:pt>
                <c:pt idx="22">
                  <c:v>3.8304979742604245E-3</c:v>
                </c:pt>
                <c:pt idx="23">
                  <c:v>3.8664899580941915E-3</c:v>
                </c:pt>
                <c:pt idx="24">
                  <c:v>4.0744436424670488E-3</c:v>
                </c:pt>
                <c:pt idx="25">
                  <c:v>4.0848413266856946E-3</c:v>
                </c:pt>
                <c:pt idx="26">
                  <c:v>4.0848413266856946E-3</c:v>
                </c:pt>
                <c:pt idx="27">
                  <c:v>4.1520263631753852E-3</c:v>
                </c:pt>
                <c:pt idx="28">
                  <c:v>4.1520263631753852E-3</c:v>
                </c:pt>
                <c:pt idx="29">
                  <c:v>4.1576251162161945E-3</c:v>
                </c:pt>
                <c:pt idx="30">
                  <c:v>4.162424047394031E-3</c:v>
                </c:pt>
                <c:pt idx="31">
                  <c:v>4.162424047394031E-3</c:v>
                </c:pt>
                <c:pt idx="32">
                  <c:v>4.1880183470091523E-3</c:v>
                </c:pt>
                <c:pt idx="33">
                  <c:v>4.1896179907350978E-3</c:v>
                </c:pt>
                <c:pt idx="34">
                  <c:v>4.1952167437759036E-3</c:v>
                </c:pt>
                <c:pt idx="35">
                  <c:v>4.4071695374636281E-3</c:v>
                </c:pt>
                <c:pt idx="36">
                  <c:v>4.4327638370787494E-3</c:v>
                </c:pt>
                <c:pt idx="37">
                  <c:v>4.4431615212973917E-3</c:v>
                </c:pt>
                <c:pt idx="38">
                  <c:v>4.453559205516034E-3</c:v>
                </c:pt>
                <c:pt idx="39">
                  <c:v>4.4999488735684399E-3</c:v>
                </c:pt>
                <c:pt idx="40">
                  <c:v>4.5047478047462765E-3</c:v>
                </c:pt>
                <c:pt idx="41">
                  <c:v>4.5055476266092492E-3</c:v>
                </c:pt>
                <c:pt idx="42">
                  <c:v>4.5655342663321885E-3</c:v>
                </c:pt>
                <c:pt idx="43">
                  <c:v>4.8166783313055676E-3</c:v>
                </c:pt>
                <c:pt idx="44">
                  <c:v>4.8502708495504129E-3</c:v>
                </c:pt>
                <c:pt idx="45">
                  <c:v>4.853470137002304E-3</c:v>
                </c:pt>
                <c:pt idx="46">
                  <c:v>4.8638678212209463E-3</c:v>
                </c:pt>
                <c:pt idx="47">
                  <c:v>4.8838633677952617E-3</c:v>
                </c:pt>
                <c:pt idx="48">
                  <c:v>4.8998598050547099E-3</c:v>
                </c:pt>
                <c:pt idx="49">
                  <c:v>5.1837965664099615E-3</c:v>
                </c:pt>
                <c:pt idx="50">
                  <c:v>5.2357849875031767E-3</c:v>
                </c:pt>
                <c:pt idx="51">
                  <c:v>5.8644449717995956E-3</c:v>
                </c:pt>
                <c:pt idx="52">
                  <c:v>6.2243648101372381E-3</c:v>
                </c:pt>
                <c:pt idx="53">
                  <c:v>6.3227428992828592E-3</c:v>
                </c:pt>
                <c:pt idx="54">
                  <c:v>6.5674883893524563E-3</c:v>
                </c:pt>
                <c:pt idx="55">
                  <c:v>7.6648439853507812E-3</c:v>
                </c:pt>
                <c:pt idx="56">
                  <c:v>8.61583218042513E-3</c:v>
                </c:pt>
                <c:pt idx="57">
                  <c:v>9.7011904484788671E-3</c:v>
                </c:pt>
                <c:pt idx="58">
                  <c:v>9.730783857408852E-3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5E-4986-82F2-257C4415036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Active!$D$21:$D$70</c:f>
                <c:numCache>
                  <c:formatCode>General</c:formatCode>
                  <c:ptCount val="5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</c:numCache>
              </c:numRef>
            </c:plus>
            <c:minus>
              <c:numRef>
                <c:f>Active!$D$21:$D$70</c:f>
                <c:numCache>
                  <c:formatCode>General</c:formatCode>
                  <c:ptCount val="50"/>
                  <c:pt idx="0">
                    <c:v>0</c:v>
                  </c:pt>
                  <c:pt idx="14">
                    <c:v>0.01</c:v>
                  </c:pt>
                  <c:pt idx="15">
                    <c:v>0.01</c:v>
                  </c:pt>
                  <c:pt idx="16">
                    <c:v>7.0000000000000001E-3</c:v>
                  </c:pt>
                  <c:pt idx="18">
                    <c:v>6.9999999999999999E-4</c:v>
                  </c:pt>
                  <c:pt idx="19">
                    <c:v>5.0000000000000001E-4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2.4000000000000001E-4</c:v>
                  </c:pt>
                  <c:pt idx="23">
                    <c:v>6.9999999999999999E-4</c:v>
                  </c:pt>
                  <c:pt idx="24">
                    <c:v>2.9999999999999997E-4</c:v>
                  </c:pt>
                  <c:pt idx="26">
                    <c:v>1E-4</c:v>
                  </c:pt>
                  <c:pt idx="27">
                    <c:v>1.8000000000000001E-4</c:v>
                  </c:pt>
                  <c:pt idx="29">
                    <c:v>6.9999999999999999E-4</c:v>
                  </c:pt>
                  <c:pt idx="30">
                    <c:v>1.4999999999999999E-4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6.1999999999999998E-3</c:v>
                  </c:pt>
                  <c:pt idx="35">
                    <c:v>1.1000000000000001E-3</c:v>
                  </c:pt>
                  <c:pt idx="36">
                    <c:v>2.9999999999999997E-4</c:v>
                  </c:pt>
                  <c:pt idx="37">
                    <c:v>5.0000000000000001E-4</c:v>
                  </c:pt>
                  <c:pt idx="38">
                    <c:v>2.9999999999999997E-4</c:v>
                  </c:pt>
                  <c:pt idx="39">
                    <c:v>2.0000000000000001E-4</c:v>
                  </c:pt>
                  <c:pt idx="40">
                    <c:v>4.0000000000000002E-4</c:v>
                  </c:pt>
                  <c:pt idx="41">
                    <c:v>5.9999999999999995E-4</c:v>
                  </c:pt>
                  <c:pt idx="43">
                    <c:v>4.0000000000000002E-4</c:v>
                  </c:pt>
                  <c:pt idx="44">
                    <c:v>5.9999999999999995E-4</c:v>
                  </c:pt>
                  <c:pt idx="45">
                    <c:v>2.9999999999999997E-4</c:v>
                  </c:pt>
                  <c:pt idx="46">
                    <c:v>4.0000000000000002E-4</c:v>
                  </c:pt>
                  <c:pt idx="47">
                    <c:v>2.0000000000000001E-4</c:v>
                  </c:pt>
                  <c:pt idx="4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22.5</c:v>
                </c:pt>
                <c:pt idx="2">
                  <c:v>191</c:v>
                </c:pt>
                <c:pt idx="3">
                  <c:v>194.5</c:v>
                </c:pt>
                <c:pt idx="4">
                  <c:v>205</c:v>
                </c:pt>
                <c:pt idx="5">
                  <c:v>207.5</c:v>
                </c:pt>
                <c:pt idx="6">
                  <c:v>210.5</c:v>
                </c:pt>
                <c:pt idx="7">
                  <c:v>213.5</c:v>
                </c:pt>
                <c:pt idx="8">
                  <c:v>216.5</c:v>
                </c:pt>
                <c:pt idx="9">
                  <c:v>242.5</c:v>
                </c:pt>
                <c:pt idx="10">
                  <c:v>249</c:v>
                </c:pt>
                <c:pt idx="11">
                  <c:v>265</c:v>
                </c:pt>
                <c:pt idx="12">
                  <c:v>514</c:v>
                </c:pt>
                <c:pt idx="13">
                  <c:v>1731</c:v>
                </c:pt>
                <c:pt idx="14">
                  <c:v>12287</c:v>
                </c:pt>
                <c:pt idx="15">
                  <c:v>12303.5</c:v>
                </c:pt>
                <c:pt idx="16">
                  <c:v>12527.5</c:v>
                </c:pt>
                <c:pt idx="17">
                  <c:v>13826.5</c:v>
                </c:pt>
                <c:pt idx="18">
                  <c:v>14513.5</c:v>
                </c:pt>
                <c:pt idx="19">
                  <c:v>14520</c:v>
                </c:pt>
                <c:pt idx="20">
                  <c:v>14663.5</c:v>
                </c:pt>
                <c:pt idx="21">
                  <c:v>14683</c:v>
                </c:pt>
                <c:pt idx="22">
                  <c:v>14696</c:v>
                </c:pt>
                <c:pt idx="23">
                  <c:v>14718.5</c:v>
                </c:pt>
                <c:pt idx="24">
                  <c:v>14848.5</c:v>
                </c:pt>
                <c:pt idx="25">
                  <c:v>14855</c:v>
                </c:pt>
                <c:pt idx="26">
                  <c:v>14855</c:v>
                </c:pt>
                <c:pt idx="27">
                  <c:v>14897</c:v>
                </c:pt>
                <c:pt idx="28">
                  <c:v>14897</c:v>
                </c:pt>
                <c:pt idx="29">
                  <c:v>14900.5</c:v>
                </c:pt>
                <c:pt idx="30">
                  <c:v>14903.5</c:v>
                </c:pt>
                <c:pt idx="31">
                  <c:v>14903.5</c:v>
                </c:pt>
                <c:pt idx="32">
                  <c:v>14919.5</c:v>
                </c:pt>
                <c:pt idx="33">
                  <c:v>14920.5</c:v>
                </c:pt>
                <c:pt idx="34">
                  <c:v>14924</c:v>
                </c:pt>
                <c:pt idx="35">
                  <c:v>15056.5</c:v>
                </c:pt>
                <c:pt idx="36">
                  <c:v>15072.5</c:v>
                </c:pt>
                <c:pt idx="37">
                  <c:v>15079</c:v>
                </c:pt>
                <c:pt idx="38">
                  <c:v>15085.5</c:v>
                </c:pt>
                <c:pt idx="39">
                  <c:v>15114.5</c:v>
                </c:pt>
                <c:pt idx="40">
                  <c:v>15117.5</c:v>
                </c:pt>
                <c:pt idx="41">
                  <c:v>15118</c:v>
                </c:pt>
                <c:pt idx="42">
                  <c:v>15155.5</c:v>
                </c:pt>
                <c:pt idx="43">
                  <c:v>15312.5</c:v>
                </c:pt>
                <c:pt idx="44">
                  <c:v>15333.5</c:v>
                </c:pt>
                <c:pt idx="45">
                  <c:v>15335.5</c:v>
                </c:pt>
                <c:pt idx="46">
                  <c:v>15342</c:v>
                </c:pt>
                <c:pt idx="47">
                  <c:v>15354.5</c:v>
                </c:pt>
                <c:pt idx="48">
                  <c:v>15364.5</c:v>
                </c:pt>
                <c:pt idx="49">
                  <c:v>15542</c:v>
                </c:pt>
                <c:pt idx="50">
                  <c:v>15574.5</c:v>
                </c:pt>
                <c:pt idx="51">
                  <c:v>15967.5</c:v>
                </c:pt>
                <c:pt idx="52">
                  <c:v>16192.5</c:v>
                </c:pt>
                <c:pt idx="53">
                  <c:v>16254</c:v>
                </c:pt>
                <c:pt idx="54">
                  <c:v>16407</c:v>
                </c:pt>
                <c:pt idx="55">
                  <c:v>17093</c:v>
                </c:pt>
                <c:pt idx="56">
                  <c:v>17687.5</c:v>
                </c:pt>
                <c:pt idx="57">
                  <c:v>18366</c:v>
                </c:pt>
                <c:pt idx="58">
                  <c:v>18384.5</c:v>
                </c:pt>
              </c:numCache>
            </c:numRef>
          </c:xVal>
          <c:yVal>
            <c:numRef>
              <c:f>Active!$R$21:$R$990</c:f>
              <c:numCache>
                <c:formatCode>General</c:formatCode>
                <c:ptCount val="970"/>
                <c:pt idx="14">
                  <c:v>-2.8756634070305154E-2</c:v>
                </c:pt>
                <c:pt idx="15">
                  <c:v>2.3659986385609955E-2</c:v>
                </c:pt>
                <c:pt idx="16">
                  <c:v>1.6497742872161325E-2</c:v>
                </c:pt>
                <c:pt idx="57">
                  <c:v>0.13455462347337743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5E-4986-82F2-257C44150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870728"/>
        <c:axId val="1"/>
      </c:scatterChart>
      <c:valAx>
        <c:axId val="1208870728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5340214826088"/>
              <c:y val="0.83437515095889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88535256622336E-2"/>
              <c:y val="0.36562484904110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8870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2100840336134456E-2"/>
          <c:y val="0.92024539877300615"/>
          <c:w val="0.8991603696596748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Ser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9271622860867"/>
          <c:y val="0.15"/>
          <c:w val="0.7830586412249012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12287</c:v>
                </c:pt>
                <c:pt idx="2">
                  <c:v>12303.5</c:v>
                </c:pt>
                <c:pt idx="3">
                  <c:v>12527.5</c:v>
                </c:pt>
                <c:pt idx="4">
                  <c:v>14513.5</c:v>
                </c:pt>
                <c:pt idx="5">
                  <c:v>14520</c:v>
                </c:pt>
                <c:pt idx="6">
                  <c:v>14663.5</c:v>
                </c:pt>
                <c:pt idx="7">
                  <c:v>14683</c:v>
                </c:pt>
                <c:pt idx="8">
                  <c:v>14696</c:v>
                </c:pt>
                <c:pt idx="9">
                  <c:v>14718.5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6C-47F3-A471-240BB574CB2D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12287</c:v>
                </c:pt>
                <c:pt idx="2">
                  <c:v>12303.5</c:v>
                </c:pt>
                <c:pt idx="3">
                  <c:v>12527.5</c:v>
                </c:pt>
                <c:pt idx="4">
                  <c:v>14513.5</c:v>
                </c:pt>
                <c:pt idx="5">
                  <c:v>14520</c:v>
                </c:pt>
                <c:pt idx="6">
                  <c:v>14663.5</c:v>
                </c:pt>
                <c:pt idx="7">
                  <c:v>14683</c:v>
                </c:pt>
                <c:pt idx="8">
                  <c:v>14696</c:v>
                </c:pt>
                <c:pt idx="9">
                  <c:v>14718.5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0.44178299999475712</c:v>
                </c:pt>
                <c:pt idx="2">
                  <c:v>0.49483149999286979</c:v>
                </c:pt>
                <c:pt idx="3">
                  <c:v>0.49624749999202322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6C-47F3-A471-240BB574CB2D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12287</c:v>
                </c:pt>
                <c:pt idx="2">
                  <c:v>12303.5</c:v>
                </c:pt>
                <c:pt idx="3">
                  <c:v>12527.5</c:v>
                </c:pt>
                <c:pt idx="4">
                  <c:v>14513.5</c:v>
                </c:pt>
                <c:pt idx="5">
                  <c:v>14520</c:v>
                </c:pt>
                <c:pt idx="6">
                  <c:v>14663.5</c:v>
                </c:pt>
                <c:pt idx="7">
                  <c:v>14683</c:v>
                </c:pt>
                <c:pt idx="8">
                  <c:v>14696</c:v>
                </c:pt>
                <c:pt idx="9">
                  <c:v>14718.5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4">
                  <c:v>0.55572149999352405</c:v>
                </c:pt>
                <c:pt idx="5">
                  <c:v>0.55638000000180909</c:v>
                </c:pt>
                <c:pt idx="6">
                  <c:v>0.56177149999712128</c:v>
                </c:pt>
                <c:pt idx="7">
                  <c:v>0.56114699999307049</c:v>
                </c:pt>
                <c:pt idx="8">
                  <c:v>0.5626639999973122</c:v>
                </c:pt>
                <c:pt idx="9">
                  <c:v>0.56356650000088848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6C-47F3-A471-240BB574CB2D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12287</c:v>
                </c:pt>
                <c:pt idx="2">
                  <c:v>12303.5</c:v>
                </c:pt>
                <c:pt idx="3">
                  <c:v>12527.5</c:v>
                </c:pt>
                <c:pt idx="4">
                  <c:v>14513.5</c:v>
                </c:pt>
                <c:pt idx="5">
                  <c:v>14520</c:v>
                </c:pt>
                <c:pt idx="6">
                  <c:v>14663.5</c:v>
                </c:pt>
                <c:pt idx="7">
                  <c:v>14683</c:v>
                </c:pt>
                <c:pt idx="8">
                  <c:v>14696</c:v>
                </c:pt>
                <c:pt idx="9">
                  <c:v>14718.5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6C-47F3-A471-240BB574CB2D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12287</c:v>
                </c:pt>
                <c:pt idx="2">
                  <c:v>12303.5</c:v>
                </c:pt>
                <c:pt idx="3">
                  <c:v>12527.5</c:v>
                </c:pt>
                <c:pt idx="4">
                  <c:v>14513.5</c:v>
                </c:pt>
                <c:pt idx="5">
                  <c:v>14520</c:v>
                </c:pt>
                <c:pt idx="6">
                  <c:v>14663.5</c:v>
                </c:pt>
                <c:pt idx="7">
                  <c:v>14683</c:v>
                </c:pt>
                <c:pt idx="8">
                  <c:v>14696</c:v>
                </c:pt>
                <c:pt idx="9">
                  <c:v>14718.5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6C-47F3-A471-240BB574CB2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12287</c:v>
                </c:pt>
                <c:pt idx="2">
                  <c:v>12303.5</c:v>
                </c:pt>
                <c:pt idx="3">
                  <c:v>12527.5</c:v>
                </c:pt>
                <c:pt idx="4">
                  <c:v>14513.5</c:v>
                </c:pt>
                <c:pt idx="5">
                  <c:v>14520</c:v>
                </c:pt>
                <c:pt idx="6">
                  <c:v>14663.5</c:v>
                </c:pt>
                <c:pt idx="7">
                  <c:v>14683</c:v>
                </c:pt>
                <c:pt idx="8">
                  <c:v>14696</c:v>
                </c:pt>
                <c:pt idx="9">
                  <c:v>14718.5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6C-47F3-A471-240BB574CB2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7.0000000000000001E-3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2.4000000000000001E-4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12287</c:v>
                </c:pt>
                <c:pt idx="2">
                  <c:v>12303.5</c:v>
                </c:pt>
                <c:pt idx="3">
                  <c:v>12527.5</c:v>
                </c:pt>
                <c:pt idx="4">
                  <c:v>14513.5</c:v>
                </c:pt>
                <c:pt idx="5">
                  <c:v>14520</c:v>
                </c:pt>
                <c:pt idx="6">
                  <c:v>14663.5</c:v>
                </c:pt>
                <c:pt idx="7">
                  <c:v>14683</c:v>
                </c:pt>
                <c:pt idx="8">
                  <c:v>14696</c:v>
                </c:pt>
                <c:pt idx="9">
                  <c:v>14718.5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6C-47F3-A471-240BB574CB2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12287</c:v>
                </c:pt>
                <c:pt idx="2">
                  <c:v>12303.5</c:v>
                </c:pt>
                <c:pt idx="3">
                  <c:v>12527.5</c:v>
                </c:pt>
                <c:pt idx="4">
                  <c:v>14513.5</c:v>
                </c:pt>
                <c:pt idx="5">
                  <c:v>14520</c:v>
                </c:pt>
                <c:pt idx="6">
                  <c:v>14663.5</c:v>
                </c:pt>
                <c:pt idx="7">
                  <c:v>14683</c:v>
                </c:pt>
                <c:pt idx="8">
                  <c:v>14696</c:v>
                </c:pt>
                <c:pt idx="9">
                  <c:v>14718.5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1.0497130826311873E-3</c:v>
                </c:pt>
                <c:pt idx="1">
                  <c:v>0.47158934715117595</c:v>
                </c:pt>
                <c:pt idx="2">
                  <c:v>0.47222122669558314</c:v>
                </c:pt>
                <c:pt idx="3">
                  <c:v>0.48079947020753511</c:v>
                </c:pt>
                <c:pt idx="4">
                  <c:v>0.55685478991618087</c:v>
                </c:pt>
                <c:pt idx="5">
                  <c:v>0.55710371216094723</c:v>
                </c:pt>
                <c:pt idx="6">
                  <c:v>0.56259914941079159</c:v>
                </c:pt>
                <c:pt idx="7">
                  <c:v>0.56334591614509089</c:v>
                </c:pt>
                <c:pt idx="8">
                  <c:v>0.56384376063462383</c:v>
                </c:pt>
                <c:pt idx="9">
                  <c:v>0.56470541455881551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6C-47F3-A471-240BB574C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006848"/>
        <c:axId val="1"/>
      </c:scatterChart>
      <c:valAx>
        <c:axId val="830006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46324374742414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006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55371900826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533399</xdr:colOff>
      <xdr:row>0</xdr:row>
      <xdr:rowOff>38100</xdr:rowOff>
    </xdr:from>
    <xdr:to>
      <xdr:col>26</xdr:col>
      <xdr:colOff>581024</xdr:colOff>
      <xdr:row>18</xdr:row>
      <xdr:rowOff>57150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4E873474-61AC-20E8-9D8C-A79F0ECD4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17</xdr:col>
      <xdr:colOff>438150</xdr:colOff>
      <xdr:row>18</xdr:row>
      <xdr:rowOff>28575</xdr:rowOff>
    </xdr:to>
    <xdr:graphicFrame macro="">
      <xdr:nvGraphicFramePr>
        <xdr:cNvPr id="50183" name="Chart 5">
          <a:extLst>
            <a:ext uri="{FF2B5EF4-FFF2-40B4-BE49-F238E27FC236}">
              <a16:creationId xmlns:a16="http://schemas.microsoft.com/office/drawing/2014/main" id="{E7C08AC8-A9F0-4285-50C2-EF4E83450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529A128-FA46-011F-2D11-93DE78DE5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70" TargetMode="External"/><Relationship Id="rId13" Type="http://schemas.openxmlformats.org/officeDocument/2006/relationships/hyperlink" Target="http://www.konkoly.hu/cgi-bin/IBVS?5764" TargetMode="External"/><Relationship Id="rId18" Type="http://schemas.openxmlformats.org/officeDocument/2006/relationships/hyperlink" Target="http://www.konkoly.hu/cgi-bin/IBVS?5764" TargetMode="External"/><Relationship Id="rId26" Type="http://schemas.openxmlformats.org/officeDocument/2006/relationships/hyperlink" Target="http://www.konkoly.hu/cgi-bin/IBVS?5910" TargetMode="External"/><Relationship Id="rId3" Type="http://schemas.openxmlformats.org/officeDocument/2006/relationships/hyperlink" Target="http://www.konkoly.hu/cgi-bin/IBVS?5577" TargetMode="External"/><Relationship Id="rId21" Type="http://schemas.openxmlformats.org/officeDocument/2006/relationships/hyperlink" Target="http://www.konkoly.hu/cgi-bin/IBVS?5764" TargetMode="External"/><Relationship Id="rId7" Type="http://schemas.openxmlformats.org/officeDocument/2006/relationships/hyperlink" Target="http://www.konkoly.hu/cgi-bin/IBVS?5670" TargetMode="External"/><Relationship Id="rId12" Type="http://schemas.openxmlformats.org/officeDocument/2006/relationships/hyperlink" Target="http://www.bav-astro.de/sfs/BAVM_link.php?BAVMnr=173" TargetMode="External"/><Relationship Id="rId17" Type="http://schemas.openxmlformats.org/officeDocument/2006/relationships/hyperlink" Target="http://www.konkoly.hu/cgi-bin/IBVS?5764" TargetMode="External"/><Relationship Id="rId25" Type="http://schemas.openxmlformats.org/officeDocument/2006/relationships/hyperlink" Target="http://www.konkoly.hu/cgi-bin/IBVS?5910" TargetMode="External"/><Relationship Id="rId33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5577" TargetMode="External"/><Relationship Id="rId16" Type="http://schemas.openxmlformats.org/officeDocument/2006/relationships/hyperlink" Target="http://www.konkoly.hu/cgi-bin/IBVS?5764" TargetMode="External"/><Relationship Id="rId20" Type="http://schemas.openxmlformats.org/officeDocument/2006/relationships/hyperlink" Target="http://vsolj.cetus-net.org/no45.pdf" TargetMode="External"/><Relationship Id="rId29" Type="http://schemas.openxmlformats.org/officeDocument/2006/relationships/hyperlink" Target="http://vsolj.cetus-net.org/vsoljno51.pdf" TargetMode="External"/><Relationship Id="rId1" Type="http://schemas.openxmlformats.org/officeDocument/2006/relationships/hyperlink" Target="http://www.konkoly.hu/cgi-bin/IBVS?5577" TargetMode="External"/><Relationship Id="rId6" Type="http://schemas.openxmlformats.org/officeDocument/2006/relationships/hyperlink" Target="http://www.konkoly.hu/cgi-bin/IBVS?5670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konkoly.hu/cgi-bin/IBVS?5910" TargetMode="External"/><Relationship Id="rId32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5670" TargetMode="External"/><Relationship Id="rId15" Type="http://schemas.openxmlformats.org/officeDocument/2006/relationships/hyperlink" Target="http://www.konkoly.hu/cgi-bin/IBVS?5764" TargetMode="External"/><Relationship Id="rId23" Type="http://schemas.openxmlformats.org/officeDocument/2006/relationships/hyperlink" Target="http://www.konkoly.hu/cgi-bin/IBVS?5910" TargetMode="External"/><Relationship Id="rId28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konkoly.hu/cgi-bin/IBVS?5670" TargetMode="External"/><Relationship Id="rId19" Type="http://schemas.openxmlformats.org/officeDocument/2006/relationships/hyperlink" Target="http://www.konkoly.hu/cgi-bin/IBVS?5764" TargetMode="External"/><Relationship Id="rId31" Type="http://schemas.openxmlformats.org/officeDocument/2006/relationships/hyperlink" Target="http://www.konkoly.hu/cgi-bin/IBVS?6014" TargetMode="External"/><Relationship Id="rId4" Type="http://schemas.openxmlformats.org/officeDocument/2006/relationships/hyperlink" Target="http://www.konkoly.hu/cgi-bin/IBVS?5577" TargetMode="External"/><Relationship Id="rId9" Type="http://schemas.openxmlformats.org/officeDocument/2006/relationships/hyperlink" Target="http://www.konkoly.hu/cgi-bin/IBVS?5670" TargetMode="External"/><Relationship Id="rId14" Type="http://schemas.openxmlformats.org/officeDocument/2006/relationships/hyperlink" Target="http://www.konkoly.hu/cgi-bin/IBVS?5764" TargetMode="External"/><Relationship Id="rId22" Type="http://schemas.openxmlformats.org/officeDocument/2006/relationships/hyperlink" Target="http://www.bav-astro.de/sfs/BAVM_link.php?BAVMnr=186" TargetMode="External"/><Relationship Id="rId27" Type="http://schemas.openxmlformats.org/officeDocument/2006/relationships/hyperlink" Target="http://vsolj.cetus-net.org/no48.pdf" TargetMode="External"/><Relationship Id="rId30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9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95" customHeight="1"/>
  <cols>
    <col min="1" max="1" width="14.42578125" style="43" customWidth="1"/>
    <col min="2" max="2" width="5.140625" style="45" customWidth="1"/>
    <col min="3" max="3" width="11.85546875" style="43" customWidth="1"/>
    <col min="4" max="4" width="9.42578125" style="43" customWidth="1"/>
    <col min="5" max="5" width="10" style="43" customWidth="1"/>
    <col min="6" max="6" width="17.85546875" style="43" customWidth="1"/>
    <col min="7" max="7" width="8.140625" style="43" customWidth="1"/>
    <col min="8" max="14" width="8.5703125" style="43" customWidth="1"/>
    <col min="15" max="15" width="8" style="43" customWidth="1"/>
    <col min="16" max="16" width="7.7109375" style="43" customWidth="1"/>
    <col min="17" max="17" width="9.85546875" style="43" customWidth="1"/>
    <col min="18" max="16384" width="10.28515625" style="43"/>
  </cols>
  <sheetData>
    <row r="1" spans="1:6" customFormat="1" ht="20.25">
      <c r="A1" s="1" t="s">
        <v>43</v>
      </c>
      <c r="B1" s="6"/>
    </row>
    <row r="2" spans="1:6" ht="12.95" customHeight="1">
      <c r="A2" s="43" t="s">
        <v>26</v>
      </c>
      <c r="B2" s="44" t="s">
        <v>46</v>
      </c>
    </row>
    <row r="4" spans="1:6" ht="12.95" customHeight="1" thickTop="1" thickBot="1">
      <c r="A4" s="46" t="s">
        <v>0</v>
      </c>
      <c r="C4" s="47">
        <v>28333.22</v>
      </c>
      <c r="D4" s="48">
        <v>1.6873910000000001</v>
      </c>
    </row>
    <row r="5" spans="1:6" ht="12.95" customHeight="1" thickTop="1">
      <c r="A5" s="49" t="s">
        <v>47</v>
      </c>
      <c r="B5" s="43"/>
      <c r="C5" s="50">
        <v>-9.5</v>
      </c>
      <c r="D5" s="43" t="s">
        <v>48</v>
      </c>
    </row>
    <row r="6" spans="1:6" ht="12.95" customHeight="1">
      <c r="A6" s="46" t="s">
        <v>1</v>
      </c>
    </row>
    <row r="7" spans="1:6" ht="12.95" customHeight="1">
      <c r="A7" s="43" t="s">
        <v>2</v>
      </c>
      <c r="C7" s="43">
        <f>+C4</f>
        <v>28333.22</v>
      </c>
    </row>
    <row r="8" spans="1:6" ht="12.95" customHeight="1">
      <c r="A8" s="43" t="s">
        <v>3</v>
      </c>
      <c r="C8" s="43">
        <v>1.6874292957299641</v>
      </c>
    </row>
    <row r="9" spans="1:6" ht="12.95" customHeight="1">
      <c r="A9" s="51" t="s">
        <v>54</v>
      </c>
      <c r="B9" s="52">
        <v>22</v>
      </c>
      <c r="C9" s="53" t="str">
        <f>"F"&amp;B9</f>
        <v>F22</v>
      </c>
      <c r="D9" s="54" t="str">
        <f>"G"&amp;B9</f>
        <v>G22</v>
      </c>
    </row>
    <row r="10" spans="1:6" ht="12.95" customHeight="1" thickBot="1">
      <c r="B10" s="43"/>
      <c r="C10" s="55" t="s">
        <v>21</v>
      </c>
      <c r="D10" s="55" t="s">
        <v>22</v>
      </c>
    </row>
    <row r="11" spans="1:6" ht="12.95" customHeight="1">
      <c r="A11" s="43" t="s">
        <v>16</v>
      </c>
      <c r="B11" s="43"/>
      <c r="C11" s="54">
        <f ca="1">INTERCEPT(INDIRECT($D$9):G992,INDIRECT($C$9):F992)</f>
        <v>-1.9677866222228464E-2</v>
      </c>
      <c r="D11" s="45"/>
    </row>
    <row r="12" spans="1:6" ht="12.95" customHeight="1">
      <c r="A12" s="43" t="s">
        <v>17</v>
      </c>
      <c r="B12" s="43"/>
      <c r="C12" s="54">
        <f ca="1">SLOPE(INDIRECT($D$9):G992,INDIRECT($C$9):F992)</f>
        <v>1.5996437259450796E-6</v>
      </c>
      <c r="D12" s="45"/>
    </row>
    <row r="13" spans="1:6" ht="12.95" customHeight="1">
      <c r="A13" s="43" t="s">
        <v>20</v>
      </c>
      <c r="B13" s="43"/>
      <c r="C13" s="45" t="s">
        <v>14</v>
      </c>
      <c r="D13" s="45"/>
    </row>
    <row r="14" spans="1:6" ht="12.95" customHeight="1">
      <c r="B14" s="43"/>
    </row>
    <row r="15" spans="1:6" ht="12.95" customHeight="1">
      <c r="A15" s="56" t="s">
        <v>18</v>
      </c>
      <c r="B15" s="43"/>
      <c r="C15" s="57">
        <f ca="1">(C7+C11)+(C8+C12)*INT(MAX(F21:F3533))</f>
        <v>59354.929902683696</v>
      </c>
      <c r="E15" s="58" t="s">
        <v>288</v>
      </c>
      <c r="F15" s="50">
        <v>1</v>
      </c>
    </row>
    <row r="16" spans="1:6" ht="12.95" customHeight="1">
      <c r="A16" s="46" t="s">
        <v>4</v>
      </c>
      <c r="B16" s="43"/>
      <c r="C16" s="59">
        <f ca="1">+C8+C12</f>
        <v>1.6874308953736901</v>
      </c>
      <c r="E16" s="58" t="s">
        <v>49</v>
      </c>
      <c r="F16" s="60">
        <f ca="1">NOW()+15018.5+$C$5/24</f>
        <v>60367.547866782406</v>
      </c>
    </row>
    <row r="17" spans="1:18" ht="12.95" customHeight="1" thickBot="1">
      <c r="A17" s="58" t="s">
        <v>44</v>
      </c>
      <c r="B17" s="43"/>
      <c r="C17" s="43">
        <f>COUNT(C21:C2191)</f>
        <v>59</v>
      </c>
      <c r="E17" s="58" t="s">
        <v>289</v>
      </c>
      <c r="F17" s="60">
        <f ca="1">ROUND(2*(F16-$C$7)/$C$8,0)/2+F15</f>
        <v>18985</v>
      </c>
    </row>
    <row r="18" spans="1:18" ht="12.95" customHeight="1" thickTop="1" thickBot="1">
      <c r="A18" s="46" t="s">
        <v>5</v>
      </c>
      <c r="B18" s="43"/>
      <c r="C18" s="47">
        <f ca="1">+C15</f>
        <v>59354.929902683696</v>
      </c>
      <c r="D18" s="48">
        <f ca="1">+C16</f>
        <v>1.6874308953736901</v>
      </c>
      <c r="E18" s="58" t="s">
        <v>50</v>
      </c>
      <c r="F18" s="54">
        <f ca="1">ROUND(2*(F16-$C$15)/$C$16,0)/2+F15</f>
        <v>601</v>
      </c>
    </row>
    <row r="19" spans="1:18" ht="12.95" customHeight="1" thickTop="1">
      <c r="E19" s="58" t="s">
        <v>51</v>
      </c>
      <c r="F19" s="61">
        <f ca="1">+$C$15+$C$16*F18-15018.5-$C$5/24</f>
        <v>45350.971704136617</v>
      </c>
    </row>
    <row r="20" spans="1:18" ht="12.95" customHeight="1" thickBot="1">
      <c r="A20" s="55" t="s">
        <v>6</v>
      </c>
      <c r="B20" s="55" t="s">
        <v>7</v>
      </c>
      <c r="C20" s="55" t="s">
        <v>8</v>
      </c>
      <c r="D20" s="55" t="s">
        <v>13</v>
      </c>
      <c r="E20" s="55" t="s">
        <v>9</v>
      </c>
      <c r="F20" s="55" t="s">
        <v>10</v>
      </c>
      <c r="G20" s="55" t="s">
        <v>11</v>
      </c>
      <c r="H20" s="62" t="s">
        <v>68</v>
      </c>
      <c r="I20" s="62" t="s">
        <v>71</v>
      </c>
      <c r="J20" s="62" t="s">
        <v>65</v>
      </c>
      <c r="K20" s="62" t="s">
        <v>63</v>
      </c>
      <c r="L20" s="62" t="s">
        <v>27</v>
      </c>
      <c r="M20" s="62" t="s">
        <v>28</v>
      </c>
      <c r="N20" s="62" t="s">
        <v>29</v>
      </c>
      <c r="O20" s="62" t="s">
        <v>24</v>
      </c>
      <c r="P20" s="63" t="s">
        <v>23</v>
      </c>
      <c r="Q20" s="55" t="s">
        <v>15</v>
      </c>
      <c r="R20" s="64" t="s">
        <v>60</v>
      </c>
    </row>
    <row r="21" spans="1:18" ht="12.95" customHeight="1">
      <c r="A21" s="43" t="s">
        <v>12</v>
      </c>
      <c r="C21" s="65">
        <v>28333.22</v>
      </c>
      <c r="D21" s="65" t="s">
        <v>14</v>
      </c>
      <c r="E21" s="43">
        <f t="shared" ref="E21:E52" si="0">+(C21-C$7)/C$8</f>
        <v>0</v>
      </c>
      <c r="F21" s="43">
        <f t="shared" ref="F21:F52" si="1">ROUND(2*E21,0)/2</f>
        <v>0</v>
      </c>
      <c r="G21" s="43">
        <f t="shared" ref="G21:G34" si="2">+C21-(C$7+F21*C$8)</f>
        <v>0</v>
      </c>
      <c r="H21" s="43">
        <f>+G21</f>
        <v>0</v>
      </c>
      <c r="O21" s="43">
        <f t="shared" ref="O21:O52" ca="1" si="3">+C$11+C$12*F21</f>
        <v>-1.9677866222228464E-2</v>
      </c>
      <c r="Q21" s="66">
        <f t="shared" ref="Q21:Q52" si="4">+C21-15018.5</f>
        <v>13314.720000000001</v>
      </c>
    </row>
    <row r="22" spans="1:18" ht="12.95" customHeight="1">
      <c r="A22" s="67" t="s">
        <v>78</v>
      </c>
      <c r="B22" s="68" t="s">
        <v>36</v>
      </c>
      <c r="C22" s="67">
        <v>28371.153999999999</v>
      </c>
      <c r="E22" s="27">
        <f t="shared" si="0"/>
        <v>22.480349307665431</v>
      </c>
      <c r="F22" s="43">
        <f t="shared" si="1"/>
        <v>22.5</v>
      </c>
      <c r="G22" s="43">
        <f t="shared" si="2"/>
        <v>-3.3159153925225837E-2</v>
      </c>
      <c r="H22" s="69"/>
      <c r="I22" s="43">
        <f t="shared" ref="I22:I34" si="5">G22</f>
        <v>-3.3159153925225837E-2</v>
      </c>
      <c r="O22" s="43">
        <f t="shared" ca="1" si="3"/>
        <v>-1.96418742383947E-2</v>
      </c>
      <c r="Q22" s="66">
        <f t="shared" si="4"/>
        <v>13352.653999999999</v>
      </c>
    </row>
    <row r="23" spans="1:18" ht="12.95" customHeight="1">
      <c r="A23" s="67" t="s">
        <v>86</v>
      </c>
      <c r="B23" s="68" t="s">
        <v>40</v>
      </c>
      <c r="C23" s="67">
        <v>28655.561000000002</v>
      </c>
      <c r="E23" s="27">
        <f t="shared" si="0"/>
        <v>191.02489260775755</v>
      </c>
      <c r="F23" s="43">
        <f t="shared" si="1"/>
        <v>191</v>
      </c>
      <c r="G23" s="43">
        <f t="shared" si="2"/>
        <v>4.2004515576991253E-2</v>
      </c>
      <c r="H23" s="69"/>
      <c r="I23" s="43">
        <f t="shared" si="5"/>
        <v>4.2004515576991253E-2</v>
      </c>
      <c r="O23" s="43">
        <f t="shared" ca="1" si="3"/>
        <v>-1.9372334270572954E-2</v>
      </c>
      <c r="Q23" s="66">
        <f t="shared" si="4"/>
        <v>13637.061000000002</v>
      </c>
    </row>
    <row r="24" spans="1:18" ht="12.95" customHeight="1">
      <c r="A24" s="67" t="s">
        <v>86</v>
      </c>
      <c r="B24" s="68" t="s">
        <v>36</v>
      </c>
      <c r="C24" s="67">
        <v>28661.407999999999</v>
      </c>
      <c r="E24" s="27">
        <f t="shared" si="0"/>
        <v>194.48992667750716</v>
      </c>
      <c r="F24" s="43">
        <f t="shared" si="1"/>
        <v>194.5</v>
      </c>
      <c r="G24" s="43">
        <f t="shared" si="2"/>
        <v>-1.6998019480524817E-2</v>
      </c>
      <c r="H24" s="69"/>
      <c r="I24" s="43">
        <f t="shared" si="5"/>
        <v>-1.6998019480524817E-2</v>
      </c>
      <c r="O24" s="43">
        <f t="shared" ca="1" si="3"/>
        <v>-1.9366735517532145E-2</v>
      </c>
      <c r="Q24" s="66">
        <f t="shared" si="4"/>
        <v>13642.907999999999</v>
      </c>
    </row>
    <row r="25" spans="1:18" ht="12.95" customHeight="1">
      <c r="A25" s="67" t="s">
        <v>93</v>
      </c>
      <c r="B25" s="68" t="s">
        <v>40</v>
      </c>
      <c r="C25" s="67">
        <v>28679.129000000001</v>
      </c>
      <c r="E25" s="27">
        <f t="shared" si="0"/>
        <v>204.99170002282261</v>
      </c>
      <c r="F25" s="43">
        <f t="shared" si="1"/>
        <v>205</v>
      </c>
      <c r="G25" s="43">
        <f t="shared" si="2"/>
        <v>-1.4005624641868053E-2</v>
      </c>
      <c r="H25" s="69"/>
      <c r="I25" s="43">
        <f t="shared" si="5"/>
        <v>-1.4005624641868053E-2</v>
      </c>
      <c r="O25" s="43">
        <f t="shared" ca="1" si="3"/>
        <v>-1.9349939258409721E-2</v>
      </c>
      <c r="Q25" s="66">
        <f t="shared" si="4"/>
        <v>13660.629000000001</v>
      </c>
    </row>
    <row r="26" spans="1:18" ht="12.95" customHeight="1">
      <c r="A26" s="67" t="s">
        <v>86</v>
      </c>
      <c r="B26" s="68" t="s">
        <v>36</v>
      </c>
      <c r="C26" s="67">
        <v>28683.343000000001</v>
      </c>
      <c r="E26" s="27">
        <f t="shared" si="0"/>
        <v>207.48898984152109</v>
      </c>
      <c r="F26" s="43">
        <f t="shared" si="1"/>
        <v>207.5</v>
      </c>
      <c r="G26" s="43">
        <f t="shared" si="2"/>
        <v>-1.8578863968286896E-2</v>
      </c>
      <c r="H26" s="69"/>
      <c r="I26" s="43">
        <f t="shared" si="5"/>
        <v>-1.8578863968286896E-2</v>
      </c>
      <c r="O26" s="43">
        <f t="shared" ca="1" si="3"/>
        <v>-1.934594014909486E-2</v>
      </c>
      <c r="Q26" s="66">
        <f t="shared" si="4"/>
        <v>13664.843000000001</v>
      </c>
    </row>
    <row r="27" spans="1:18" ht="12.95" customHeight="1">
      <c r="A27" s="67" t="s">
        <v>86</v>
      </c>
      <c r="B27" s="68" t="s">
        <v>36</v>
      </c>
      <c r="C27" s="67">
        <v>28688.421999999999</v>
      </c>
      <c r="E27" s="27">
        <f t="shared" si="0"/>
        <v>210.49889373073901</v>
      </c>
      <c r="F27" s="43">
        <f t="shared" si="1"/>
        <v>210.5</v>
      </c>
      <c r="G27" s="43">
        <f t="shared" si="2"/>
        <v>-1.8667511612875387E-3</v>
      </c>
      <c r="H27" s="69"/>
      <c r="I27" s="43">
        <f t="shared" si="5"/>
        <v>-1.8667511612875387E-3</v>
      </c>
      <c r="O27" s="43">
        <f t="shared" ca="1" si="3"/>
        <v>-1.9341141217917024E-2</v>
      </c>
      <c r="Q27" s="66">
        <f t="shared" si="4"/>
        <v>13669.921999999999</v>
      </c>
    </row>
    <row r="28" spans="1:18" ht="12.95" customHeight="1">
      <c r="A28" s="67" t="s">
        <v>86</v>
      </c>
      <c r="B28" s="68" t="s">
        <v>36</v>
      </c>
      <c r="C28" s="67">
        <v>28693.501</v>
      </c>
      <c r="E28" s="27">
        <f t="shared" si="0"/>
        <v>213.5087976199591</v>
      </c>
      <c r="F28" s="43">
        <f t="shared" si="1"/>
        <v>213.5</v>
      </c>
      <c r="G28" s="43">
        <f t="shared" si="2"/>
        <v>1.4845361652987776E-2</v>
      </c>
      <c r="H28" s="69"/>
      <c r="I28" s="43">
        <f t="shared" si="5"/>
        <v>1.4845361652987776E-2</v>
      </c>
      <c r="O28" s="43">
        <f t="shared" ca="1" si="3"/>
        <v>-1.9336342286739187E-2</v>
      </c>
      <c r="Q28" s="66">
        <f t="shared" si="4"/>
        <v>13675.001</v>
      </c>
    </row>
    <row r="29" spans="1:18" ht="12.95" customHeight="1">
      <c r="A29" s="67" t="s">
        <v>86</v>
      </c>
      <c r="B29" s="68" t="s">
        <v>36</v>
      </c>
      <c r="C29" s="67">
        <v>28698.542000000001</v>
      </c>
      <c r="E29" s="27">
        <f t="shared" si="0"/>
        <v>216.49618204712138</v>
      </c>
      <c r="F29" s="43">
        <f t="shared" si="1"/>
        <v>216.5</v>
      </c>
      <c r="G29" s="43">
        <f t="shared" si="2"/>
        <v>-6.4425255368405487E-3</v>
      </c>
      <c r="H29" s="69"/>
      <c r="I29" s="43">
        <f t="shared" si="5"/>
        <v>-6.4425255368405487E-3</v>
      </c>
      <c r="O29" s="43">
        <f t="shared" ca="1" si="3"/>
        <v>-1.9331543355561354E-2</v>
      </c>
      <c r="Q29" s="66">
        <f t="shared" si="4"/>
        <v>13680.042000000001</v>
      </c>
    </row>
    <row r="30" spans="1:18" ht="12.95" customHeight="1">
      <c r="A30" s="67" t="s">
        <v>86</v>
      </c>
      <c r="B30" s="68" t="s">
        <v>36</v>
      </c>
      <c r="C30" s="67">
        <v>28742.38</v>
      </c>
      <c r="E30" s="27">
        <f t="shared" si="0"/>
        <v>242.47534461762532</v>
      </c>
      <c r="F30" s="43">
        <f t="shared" si="1"/>
        <v>242.5</v>
      </c>
      <c r="G30" s="43">
        <f t="shared" si="2"/>
        <v>-4.1604214515245985E-2</v>
      </c>
      <c r="H30" s="69"/>
      <c r="I30" s="43">
        <f t="shared" si="5"/>
        <v>-4.1604214515245985E-2</v>
      </c>
      <c r="O30" s="43">
        <f t="shared" ca="1" si="3"/>
        <v>-1.9289952618686781E-2</v>
      </c>
      <c r="Q30" s="66">
        <f t="shared" si="4"/>
        <v>13723.880000000001</v>
      </c>
    </row>
    <row r="31" spans="1:18" ht="12.95" customHeight="1">
      <c r="A31" s="67" t="s">
        <v>86</v>
      </c>
      <c r="B31" s="68" t="s">
        <v>40</v>
      </c>
      <c r="C31" s="67">
        <v>28753.376</v>
      </c>
      <c r="E31" s="27">
        <f t="shared" si="0"/>
        <v>248.99176579617458</v>
      </c>
      <c r="F31" s="43">
        <f t="shared" si="1"/>
        <v>249</v>
      </c>
      <c r="G31" s="43">
        <f t="shared" si="2"/>
        <v>-1.3894636762415757E-2</v>
      </c>
      <c r="H31" s="69"/>
      <c r="I31" s="43">
        <f t="shared" si="5"/>
        <v>-1.3894636762415757E-2</v>
      </c>
      <c r="O31" s="43">
        <f t="shared" ca="1" si="3"/>
        <v>-1.9279554934468139E-2</v>
      </c>
      <c r="Q31" s="66">
        <f t="shared" si="4"/>
        <v>13734.876</v>
      </c>
    </row>
    <row r="32" spans="1:18" ht="12.95" customHeight="1">
      <c r="A32" s="67" t="s">
        <v>86</v>
      </c>
      <c r="B32" s="68" t="s">
        <v>40</v>
      </c>
      <c r="C32" s="67">
        <v>28780.32</v>
      </c>
      <c r="E32" s="27">
        <f t="shared" si="0"/>
        <v>264.9592496298269</v>
      </c>
      <c r="F32" s="43">
        <f t="shared" si="1"/>
        <v>265</v>
      </c>
      <c r="G32" s="43">
        <f t="shared" si="2"/>
        <v>-6.876336844288744E-2</v>
      </c>
      <c r="H32" s="69"/>
      <c r="I32" s="43">
        <f t="shared" si="5"/>
        <v>-6.876336844288744E-2</v>
      </c>
      <c r="O32" s="43">
        <f t="shared" ca="1" si="3"/>
        <v>-1.9253960634853018E-2</v>
      </c>
      <c r="Q32" s="66">
        <f t="shared" si="4"/>
        <v>13761.82</v>
      </c>
    </row>
    <row r="33" spans="1:32" ht="12.95" customHeight="1">
      <c r="A33" s="67" t="s">
        <v>93</v>
      </c>
      <c r="B33" s="68" t="s">
        <v>40</v>
      </c>
      <c r="C33" s="67">
        <v>29200.539000000001</v>
      </c>
      <c r="E33" s="27">
        <f t="shared" si="0"/>
        <v>513.98835032362433</v>
      </c>
      <c r="F33" s="43">
        <f t="shared" si="1"/>
        <v>514</v>
      </c>
      <c r="G33" s="43">
        <f t="shared" si="2"/>
        <v>-1.9658005203382345E-2</v>
      </c>
      <c r="H33" s="69"/>
      <c r="I33" s="43">
        <f t="shared" si="5"/>
        <v>-1.9658005203382345E-2</v>
      </c>
      <c r="O33" s="43">
        <f t="shared" ca="1" si="3"/>
        <v>-1.8855649347092693E-2</v>
      </c>
      <c r="Q33" s="66">
        <f t="shared" si="4"/>
        <v>14182.039000000001</v>
      </c>
    </row>
    <row r="34" spans="1:32" ht="12.95" customHeight="1">
      <c r="A34" s="67" t="s">
        <v>120</v>
      </c>
      <c r="B34" s="68" t="s">
        <v>40</v>
      </c>
      <c r="C34" s="67">
        <v>31254.11</v>
      </c>
      <c r="E34" s="27">
        <f t="shared" si="0"/>
        <v>1730.9703034025217</v>
      </c>
      <c r="F34" s="43">
        <f t="shared" si="1"/>
        <v>1731</v>
      </c>
      <c r="G34" s="43">
        <f t="shared" si="2"/>
        <v>-5.0110908567148726E-2</v>
      </c>
      <c r="H34" s="69"/>
      <c r="I34" s="43">
        <f t="shared" si="5"/>
        <v>-5.0110908567148726E-2</v>
      </c>
      <c r="O34" s="43">
        <f t="shared" ca="1" si="3"/>
        <v>-1.6908882932617532E-2</v>
      </c>
      <c r="Q34" s="66">
        <f t="shared" si="4"/>
        <v>16235.61</v>
      </c>
    </row>
    <row r="35" spans="1:32" ht="12.95" customHeight="1">
      <c r="A35" s="43" t="s">
        <v>33</v>
      </c>
      <c r="C35" s="16">
        <v>49066.635000000002</v>
      </c>
      <c r="D35" s="16">
        <v>0.01</v>
      </c>
      <c r="E35" s="43">
        <f t="shared" si="0"/>
        <v>12286.982958317636</v>
      </c>
      <c r="F35" s="43">
        <f t="shared" si="1"/>
        <v>12287</v>
      </c>
      <c r="O35" s="43">
        <f t="shared" ca="1" si="3"/>
        <v>-2.3043761541271385E-5</v>
      </c>
      <c r="Q35" s="66">
        <f t="shared" si="4"/>
        <v>34048.135000000002</v>
      </c>
      <c r="R35" s="43">
        <f>+C35-(C$7+F35*C$8)</f>
        <v>-2.8756634070305154E-2</v>
      </c>
      <c r="AA35" s="43">
        <v>16</v>
      </c>
      <c r="AC35" s="43" t="s">
        <v>31</v>
      </c>
      <c r="AD35" s="43" t="s">
        <v>32</v>
      </c>
      <c r="AF35" s="43" t="s">
        <v>34</v>
      </c>
    </row>
    <row r="36" spans="1:32" ht="12.95" customHeight="1">
      <c r="A36" s="43" t="s">
        <v>33</v>
      </c>
      <c r="B36" s="45" t="s">
        <v>36</v>
      </c>
      <c r="C36" s="16">
        <v>49094.53</v>
      </c>
      <c r="D36" s="16">
        <v>0.01</v>
      </c>
      <c r="E36" s="43">
        <f t="shared" si="0"/>
        <v>12303.514021320148</v>
      </c>
      <c r="F36" s="43">
        <f t="shared" si="1"/>
        <v>12303.5</v>
      </c>
      <c r="O36" s="43">
        <f t="shared" ca="1" si="3"/>
        <v>3.3503599368225889E-6</v>
      </c>
      <c r="Q36" s="66">
        <f t="shared" si="4"/>
        <v>34076.03</v>
      </c>
      <c r="R36" s="43">
        <f>+C36-(C$7+F36*C$8)</f>
        <v>2.3659986385609955E-2</v>
      </c>
      <c r="AA36" s="43">
        <v>6</v>
      </c>
      <c r="AC36" s="43" t="s">
        <v>31</v>
      </c>
      <c r="AD36" s="43" t="s">
        <v>32</v>
      </c>
      <c r="AF36" s="43" t="s">
        <v>34</v>
      </c>
    </row>
    <row r="37" spans="1:32" ht="12.95" customHeight="1">
      <c r="A37" s="43" t="s">
        <v>35</v>
      </c>
      <c r="C37" s="16">
        <v>49472.506999999998</v>
      </c>
      <c r="D37" s="16">
        <v>7.0000000000000001E-3</v>
      </c>
      <c r="E37" s="43">
        <f t="shared" si="0"/>
        <v>12527.509776849858</v>
      </c>
      <c r="F37" s="43">
        <f t="shared" si="1"/>
        <v>12527.5</v>
      </c>
      <c r="O37" s="43">
        <f t="shared" ca="1" si="3"/>
        <v>3.6167055454851965E-4</v>
      </c>
      <c r="Q37" s="66">
        <f t="shared" si="4"/>
        <v>34454.006999999998</v>
      </c>
      <c r="R37" s="43">
        <f>+C37-(C$7+F37*C$8)</f>
        <v>1.6497742872161325E-2</v>
      </c>
      <c r="AA37" s="43">
        <v>54</v>
      </c>
      <c r="AC37" s="43" t="s">
        <v>31</v>
      </c>
      <c r="AD37" s="43" t="s">
        <v>32</v>
      </c>
      <c r="AF37" s="43" t="s">
        <v>34</v>
      </c>
    </row>
    <row r="38" spans="1:32" ht="12.95" customHeight="1">
      <c r="A38" s="67" t="s">
        <v>139</v>
      </c>
      <c r="B38" s="68" t="s">
        <v>36</v>
      </c>
      <c r="C38" s="67">
        <v>51664.471299999997</v>
      </c>
      <c r="E38" s="27">
        <f t="shared" si="0"/>
        <v>13826.506010675335</v>
      </c>
      <c r="F38" s="43">
        <f t="shared" si="1"/>
        <v>13826.5</v>
      </c>
      <c r="G38" s="43">
        <f t="shared" ref="G38:G79" si="6">+C38-(C$7+F38*C$8)</f>
        <v>1.0142589650058653E-2</v>
      </c>
      <c r="H38" s="69"/>
      <c r="K38" s="43">
        <f t="shared" ref="K38:K77" si="7">G38</f>
        <v>1.0142589650058653E-2</v>
      </c>
      <c r="O38" s="43">
        <f t="shared" ca="1" si="3"/>
        <v>2.4396077545511784E-3</v>
      </c>
      <c r="Q38" s="66">
        <f t="shared" si="4"/>
        <v>36645.971299999997</v>
      </c>
    </row>
    <row r="39" spans="1:32" ht="12.95" customHeight="1">
      <c r="A39" s="43" t="s">
        <v>38</v>
      </c>
      <c r="B39" s="70" t="s">
        <v>36</v>
      </c>
      <c r="C39" s="21">
        <v>52823.724999999999</v>
      </c>
      <c r="D39" s="21">
        <v>6.9999999999999999E-4</v>
      </c>
      <c r="E39" s="43">
        <f t="shared" si="0"/>
        <v>14513.49995047091</v>
      </c>
      <c r="F39" s="43">
        <f t="shared" si="1"/>
        <v>14513.5</v>
      </c>
      <c r="G39" s="43">
        <f t="shared" si="6"/>
        <v>-8.3576836914289743E-5</v>
      </c>
      <c r="H39" s="69"/>
      <c r="K39" s="43">
        <f t="shared" si="7"/>
        <v>-8.3576836914289743E-5</v>
      </c>
      <c r="O39" s="43">
        <f t="shared" ca="1" si="3"/>
        <v>3.5385629942754487E-3</v>
      </c>
      <c r="Q39" s="66">
        <f t="shared" si="4"/>
        <v>37805.224999999999</v>
      </c>
    </row>
    <row r="40" spans="1:32" ht="12.95" customHeight="1">
      <c r="A40" s="43" t="s">
        <v>38</v>
      </c>
      <c r="B40" s="71"/>
      <c r="C40" s="21">
        <v>52834.693700000003</v>
      </c>
      <c r="D40" s="21">
        <v>5.0000000000000001E-4</v>
      </c>
      <c r="E40" s="43">
        <f t="shared" si="0"/>
        <v>14520.000193193826</v>
      </c>
      <c r="F40" s="43">
        <f t="shared" si="1"/>
        <v>14520</v>
      </c>
      <c r="G40" s="43">
        <f t="shared" si="6"/>
        <v>3.260009252699092E-4</v>
      </c>
      <c r="H40" s="69"/>
      <c r="K40" s="43">
        <f t="shared" si="7"/>
        <v>3.260009252699092E-4</v>
      </c>
      <c r="O40" s="43">
        <f t="shared" ca="1" si="3"/>
        <v>3.5489606784940911E-3</v>
      </c>
      <c r="Q40" s="66">
        <f t="shared" si="4"/>
        <v>37816.193700000003</v>
      </c>
    </row>
    <row r="41" spans="1:32" ht="12.95" customHeight="1">
      <c r="A41" s="16" t="s">
        <v>39</v>
      </c>
      <c r="B41" s="17" t="s">
        <v>36</v>
      </c>
      <c r="C41" s="21">
        <v>53076.839699999997</v>
      </c>
      <c r="D41" s="21">
        <v>5.0000000000000001E-4</v>
      </c>
      <c r="E41" s="43">
        <f t="shared" si="0"/>
        <v>14663.500131598797</v>
      </c>
      <c r="F41" s="43">
        <f t="shared" si="1"/>
        <v>14663.5</v>
      </c>
      <c r="G41" s="43">
        <f t="shared" si="6"/>
        <v>2.2206366702448577E-4</v>
      </c>
      <c r="H41" s="69"/>
      <c r="K41" s="43">
        <f t="shared" si="7"/>
        <v>2.2206366702448577E-4</v>
      </c>
      <c r="O41" s="43">
        <f t="shared" ca="1" si="3"/>
        <v>3.7785095531672093E-3</v>
      </c>
      <c r="Q41" s="66">
        <f t="shared" si="4"/>
        <v>38058.339699999997</v>
      </c>
    </row>
    <row r="42" spans="1:32" ht="12.95" customHeight="1">
      <c r="A42" s="16" t="s">
        <v>39</v>
      </c>
      <c r="B42" s="17" t="s">
        <v>40</v>
      </c>
      <c r="C42" s="21">
        <v>53109.743199999997</v>
      </c>
      <c r="D42" s="21">
        <v>5.0000000000000001E-4</v>
      </c>
      <c r="E42" s="43">
        <f t="shared" si="0"/>
        <v>14682.99931896224</v>
      </c>
      <c r="F42" s="43">
        <f t="shared" si="1"/>
        <v>14683</v>
      </c>
      <c r="G42" s="43">
        <f t="shared" si="6"/>
        <v>-1.1492030680528842E-3</v>
      </c>
      <c r="H42" s="69"/>
      <c r="K42" s="43">
        <f t="shared" si="7"/>
        <v>-1.1492030680528842E-3</v>
      </c>
      <c r="O42" s="43">
        <f t="shared" ca="1" si="3"/>
        <v>3.8097026058231398E-3</v>
      </c>
      <c r="Q42" s="66">
        <f t="shared" si="4"/>
        <v>38091.243199999997</v>
      </c>
    </row>
    <row r="43" spans="1:32" ht="12.95" customHeight="1">
      <c r="A43" s="23" t="s">
        <v>39</v>
      </c>
      <c r="B43" s="24" t="s">
        <v>40</v>
      </c>
      <c r="C43" s="25">
        <v>53131.680800000002</v>
      </c>
      <c r="D43" s="25">
        <v>2.4000000000000001E-4</v>
      </c>
      <c r="E43" s="43">
        <f t="shared" si="0"/>
        <v>14695.999922931554</v>
      </c>
      <c r="F43" s="43">
        <f t="shared" si="1"/>
        <v>14696</v>
      </c>
      <c r="G43" s="43">
        <f t="shared" si="6"/>
        <v>-1.3004755601286888E-4</v>
      </c>
      <c r="H43" s="69"/>
      <c r="K43" s="43">
        <f t="shared" si="7"/>
        <v>-1.3004755601286888E-4</v>
      </c>
      <c r="O43" s="43">
        <f t="shared" ca="1" si="3"/>
        <v>3.8304979742604245E-3</v>
      </c>
      <c r="Q43" s="66">
        <f t="shared" si="4"/>
        <v>38113.180800000002</v>
      </c>
    </row>
    <row r="44" spans="1:32" ht="12.95" customHeight="1">
      <c r="A44" s="23" t="s">
        <v>39</v>
      </c>
      <c r="B44" s="24" t="s">
        <v>36</v>
      </c>
      <c r="C44" s="25">
        <v>53169.648000000001</v>
      </c>
      <c r="D44" s="25">
        <v>6.9999999999999999E-4</v>
      </c>
      <c r="E44" s="43">
        <f t="shared" si="0"/>
        <v>14718.49994713765</v>
      </c>
      <c r="F44" s="43">
        <f t="shared" si="1"/>
        <v>14718.5</v>
      </c>
      <c r="G44" s="43">
        <f t="shared" si="6"/>
        <v>-8.9201479568146169E-5</v>
      </c>
      <c r="H44" s="69"/>
      <c r="K44" s="43">
        <f t="shared" si="7"/>
        <v>-8.9201479568146169E-5</v>
      </c>
      <c r="O44" s="43">
        <f t="shared" ca="1" si="3"/>
        <v>3.8664899580941915E-3</v>
      </c>
      <c r="Q44" s="66">
        <f t="shared" si="4"/>
        <v>38151.148000000001</v>
      </c>
    </row>
    <row r="45" spans="1:32" ht="12.95" customHeight="1">
      <c r="A45" s="23" t="s">
        <v>56</v>
      </c>
      <c r="B45" s="26" t="s">
        <v>36</v>
      </c>
      <c r="C45" s="23">
        <v>53389.014900000002</v>
      </c>
      <c r="D45" s="23">
        <v>2.9999999999999997E-4</v>
      </c>
      <c r="E45" s="43">
        <f t="shared" si="0"/>
        <v>14848.500594012223</v>
      </c>
      <c r="F45" s="43">
        <f t="shared" si="1"/>
        <v>14848.5</v>
      </c>
      <c r="G45" s="43">
        <f t="shared" si="6"/>
        <v>1.0023536233347841E-3</v>
      </c>
      <c r="H45" s="69"/>
      <c r="K45" s="43">
        <f t="shared" si="7"/>
        <v>1.0023536233347841E-3</v>
      </c>
      <c r="O45" s="43">
        <f t="shared" ca="1" si="3"/>
        <v>4.0744436424670488E-3</v>
      </c>
      <c r="Q45" s="66">
        <f t="shared" si="4"/>
        <v>38370.514900000002</v>
      </c>
    </row>
    <row r="46" spans="1:32" ht="12.95" customHeight="1">
      <c r="A46" s="67" t="s">
        <v>158</v>
      </c>
      <c r="B46" s="68" t="s">
        <v>40</v>
      </c>
      <c r="C46" s="67">
        <v>53399.982199999999</v>
      </c>
      <c r="E46" s="27">
        <f t="shared" si="0"/>
        <v>14855.000007070743</v>
      </c>
      <c r="F46" s="43">
        <f t="shared" si="1"/>
        <v>14855</v>
      </c>
      <c r="G46" s="43">
        <f t="shared" si="6"/>
        <v>1.1931377230212092E-5</v>
      </c>
      <c r="H46" s="69"/>
      <c r="K46" s="43">
        <f t="shared" si="7"/>
        <v>1.1931377230212092E-5</v>
      </c>
      <c r="O46" s="43">
        <f t="shared" ca="1" si="3"/>
        <v>4.0848413266856946E-3</v>
      </c>
      <c r="Q46" s="66">
        <f t="shared" si="4"/>
        <v>38381.482199999999</v>
      </c>
    </row>
    <row r="47" spans="1:32" ht="12.95" customHeight="1">
      <c r="A47" s="23" t="s">
        <v>56</v>
      </c>
      <c r="B47" s="26" t="s">
        <v>40</v>
      </c>
      <c r="C47" s="23">
        <v>53399.982230000001</v>
      </c>
      <c r="D47" s="23">
        <v>1E-4</v>
      </c>
      <c r="E47" s="43">
        <f t="shared" si="0"/>
        <v>14855.000024849269</v>
      </c>
      <c r="F47" s="43">
        <f t="shared" si="1"/>
        <v>14855</v>
      </c>
      <c r="G47" s="43">
        <f t="shared" si="6"/>
        <v>4.1931380110327154E-5</v>
      </c>
      <c r="H47" s="69"/>
      <c r="K47" s="43">
        <f t="shared" si="7"/>
        <v>4.1931380110327154E-5</v>
      </c>
      <c r="O47" s="43">
        <f t="shared" ca="1" si="3"/>
        <v>4.0848413266856946E-3</v>
      </c>
      <c r="Q47" s="66">
        <f t="shared" si="4"/>
        <v>38381.482230000001</v>
      </c>
    </row>
    <row r="48" spans="1:32" ht="12.95" customHeight="1">
      <c r="A48" s="23" t="s">
        <v>56</v>
      </c>
      <c r="B48" s="26" t="s">
        <v>40</v>
      </c>
      <c r="C48" s="23">
        <v>53470.854879999999</v>
      </c>
      <c r="D48" s="23">
        <v>1.8000000000000001E-4</v>
      </c>
      <c r="E48" s="43">
        <f t="shared" si="0"/>
        <v>14897.000392022779</v>
      </c>
      <c r="F48" s="43">
        <f t="shared" si="1"/>
        <v>14897</v>
      </c>
      <c r="G48" s="43">
        <f t="shared" si="6"/>
        <v>6.6151072678621858E-4</v>
      </c>
      <c r="H48" s="69"/>
      <c r="K48" s="43">
        <f t="shared" si="7"/>
        <v>6.6151072678621858E-4</v>
      </c>
      <c r="O48" s="43">
        <f t="shared" ca="1" si="3"/>
        <v>4.1520263631753852E-3</v>
      </c>
      <c r="Q48" s="66">
        <f t="shared" si="4"/>
        <v>38452.354879999999</v>
      </c>
    </row>
    <row r="49" spans="1:17" ht="12.95" customHeight="1">
      <c r="A49" s="67" t="s">
        <v>158</v>
      </c>
      <c r="B49" s="68" t="s">
        <v>40</v>
      </c>
      <c r="C49" s="67">
        <v>53470.854899999998</v>
      </c>
      <c r="E49" s="27">
        <f t="shared" si="0"/>
        <v>14897.000403875127</v>
      </c>
      <c r="F49" s="43">
        <f t="shared" si="1"/>
        <v>14897</v>
      </c>
      <c r="G49" s="43">
        <f t="shared" si="6"/>
        <v>6.8151072628097609E-4</v>
      </c>
      <c r="H49" s="69"/>
      <c r="K49" s="43">
        <f t="shared" si="7"/>
        <v>6.8151072628097609E-4</v>
      </c>
      <c r="O49" s="43">
        <f t="shared" ca="1" si="3"/>
        <v>4.1520263631753852E-3</v>
      </c>
      <c r="Q49" s="66">
        <f t="shared" si="4"/>
        <v>38452.354899999998</v>
      </c>
    </row>
    <row r="50" spans="1:17" ht="12.95" customHeight="1">
      <c r="A50" s="23" t="s">
        <v>56</v>
      </c>
      <c r="B50" s="26" t="s">
        <v>36</v>
      </c>
      <c r="C50" s="23">
        <v>53476.760300000002</v>
      </c>
      <c r="D50" s="23">
        <v>6.9999999999999999E-4</v>
      </c>
      <c r="E50" s="43">
        <f t="shared" si="0"/>
        <v>14900.500046802357</v>
      </c>
      <c r="F50" s="43">
        <f t="shared" si="1"/>
        <v>14900.5</v>
      </c>
      <c r="G50" s="43">
        <f t="shared" si="6"/>
        <v>7.8975666838232428E-5</v>
      </c>
      <c r="H50" s="69"/>
      <c r="K50" s="43">
        <f t="shared" si="7"/>
        <v>7.8975666838232428E-5</v>
      </c>
      <c r="O50" s="43">
        <f t="shared" ca="1" si="3"/>
        <v>4.1576251162161945E-3</v>
      </c>
      <c r="Q50" s="66">
        <f t="shared" si="4"/>
        <v>38458.260300000002</v>
      </c>
    </row>
    <row r="51" spans="1:17" ht="12.95" customHeight="1">
      <c r="A51" s="23" t="s">
        <v>56</v>
      </c>
      <c r="B51" s="26" t="s">
        <v>36</v>
      </c>
      <c r="C51" s="23">
        <v>53481.822749999999</v>
      </c>
      <c r="D51" s="23">
        <v>1.4999999999999999E-4</v>
      </c>
      <c r="E51" s="43">
        <f t="shared" si="0"/>
        <v>14903.500142873232</v>
      </c>
      <c r="F51" s="43">
        <f t="shared" si="1"/>
        <v>14903.5</v>
      </c>
      <c r="G51" s="43">
        <f t="shared" si="6"/>
        <v>2.4108847719617188E-4</v>
      </c>
      <c r="H51" s="69"/>
      <c r="K51" s="43">
        <f t="shared" si="7"/>
        <v>2.4108847719617188E-4</v>
      </c>
      <c r="O51" s="43">
        <f t="shared" ca="1" si="3"/>
        <v>4.162424047394031E-3</v>
      </c>
      <c r="Q51" s="66">
        <f t="shared" si="4"/>
        <v>38463.322749999999</v>
      </c>
    </row>
    <row r="52" spans="1:17" ht="12.95" customHeight="1">
      <c r="A52" s="67" t="s">
        <v>158</v>
      </c>
      <c r="B52" s="68" t="s">
        <v>36</v>
      </c>
      <c r="C52" s="67">
        <v>53481.822800000002</v>
      </c>
      <c r="E52" s="27">
        <f t="shared" si="0"/>
        <v>14903.500172504106</v>
      </c>
      <c r="F52" s="43">
        <f t="shared" si="1"/>
        <v>14903.5</v>
      </c>
      <c r="G52" s="43">
        <f t="shared" si="6"/>
        <v>2.9108847957104445E-4</v>
      </c>
      <c r="H52" s="69"/>
      <c r="K52" s="43">
        <f t="shared" si="7"/>
        <v>2.9108847957104445E-4</v>
      </c>
      <c r="O52" s="43">
        <f t="shared" ca="1" si="3"/>
        <v>4.162424047394031E-3</v>
      </c>
      <c r="Q52" s="66">
        <f t="shared" si="4"/>
        <v>38463.322800000002</v>
      </c>
    </row>
    <row r="53" spans="1:17" ht="12.95" customHeight="1">
      <c r="A53" s="23" t="s">
        <v>56</v>
      </c>
      <c r="B53" s="26" t="s">
        <v>36</v>
      </c>
      <c r="C53" s="23">
        <v>53508.822999999997</v>
      </c>
      <c r="D53" s="23">
        <v>4.0000000000000002E-4</v>
      </c>
      <c r="E53" s="43">
        <f t="shared" ref="E53:E79" si="8">+(C53-C$7)/C$8</f>
        <v>14919.500961436903</v>
      </c>
      <c r="F53" s="43">
        <f t="shared" ref="F53:F79" si="9">ROUND(2*E53,0)/2</f>
        <v>14919.5</v>
      </c>
      <c r="G53" s="43">
        <f t="shared" si="6"/>
        <v>1.6223567945417017E-3</v>
      </c>
      <c r="H53" s="69"/>
      <c r="K53" s="43">
        <f t="shared" si="7"/>
        <v>1.6223567945417017E-3</v>
      </c>
      <c r="O53" s="43">
        <f t="shared" ref="O53:O79" ca="1" si="10">+C$11+C$12*F53</f>
        <v>4.1880183470091523E-3</v>
      </c>
      <c r="Q53" s="66">
        <f t="shared" ref="Q53:Q79" si="11">+C53-15018.5</f>
        <v>38490.322999999997</v>
      </c>
    </row>
    <row r="54" spans="1:17" ht="12.95" customHeight="1">
      <c r="A54" s="27" t="s">
        <v>45</v>
      </c>
      <c r="B54" s="24"/>
      <c r="C54" s="23">
        <v>53510.510699999999</v>
      </c>
      <c r="D54" s="23">
        <v>4.0000000000000002E-4</v>
      </c>
      <c r="E54" s="43">
        <f t="shared" si="8"/>
        <v>14920.501121860971</v>
      </c>
      <c r="F54" s="43">
        <f t="shared" si="9"/>
        <v>14920.5</v>
      </c>
      <c r="G54" s="43">
        <f t="shared" si="6"/>
        <v>1.8930610676761717E-3</v>
      </c>
      <c r="H54" s="69"/>
      <c r="K54" s="43">
        <f t="shared" si="7"/>
        <v>1.8930610676761717E-3</v>
      </c>
      <c r="O54" s="43">
        <f t="shared" ca="1" si="10"/>
        <v>4.1896179907350978E-3</v>
      </c>
      <c r="Q54" s="66">
        <f t="shared" si="11"/>
        <v>38492.010699999999</v>
      </c>
    </row>
    <row r="55" spans="1:17" ht="12.95" customHeight="1">
      <c r="A55" s="27" t="s">
        <v>45</v>
      </c>
      <c r="B55" s="26" t="s">
        <v>36</v>
      </c>
      <c r="C55" s="23">
        <v>53516.416100000002</v>
      </c>
      <c r="D55" s="23">
        <v>6.1999999999999998E-3</v>
      </c>
      <c r="E55" s="43">
        <f t="shared" si="8"/>
        <v>14924.000764788201</v>
      </c>
      <c r="F55" s="43">
        <f t="shared" si="9"/>
        <v>14924</v>
      </c>
      <c r="G55" s="43">
        <f t="shared" si="6"/>
        <v>1.2905260155093856E-3</v>
      </c>
      <c r="H55" s="69"/>
      <c r="K55" s="43">
        <f t="shared" si="7"/>
        <v>1.2905260155093856E-3</v>
      </c>
      <c r="O55" s="43">
        <f t="shared" ca="1" si="10"/>
        <v>4.1952167437759036E-3</v>
      </c>
      <c r="Q55" s="66">
        <f t="shared" si="11"/>
        <v>38497.916100000002</v>
      </c>
    </row>
    <row r="56" spans="1:17" ht="12.95" customHeight="1">
      <c r="A56" s="23" t="s">
        <v>52</v>
      </c>
      <c r="B56" s="70" t="s">
        <v>36</v>
      </c>
      <c r="C56" s="21">
        <v>53740.0003</v>
      </c>
      <c r="D56" s="72">
        <v>1.1000000000000001E-3</v>
      </c>
      <c r="E56" s="43">
        <f t="shared" si="8"/>
        <v>15056.500657118966</v>
      </c>
      <c r="F56" s="43">
        <f t="shared" si="9"/>
        <v>15056.5</v>
      </c>
      <c r="G56" s="43">
        <f t="shared" si="6"/>
        <v>1.1088417959399521E-3</v>
      </c>
      <c r="H56" s="69"/>
      <c r="K56" s="43">
        <f t="shared" si="7"/>
        <v>1.1088417959399521E-3</v>
      </c>
      <c r="O56" s="43">
        <f t="shared" ca="1" si="10"/>
        <v>4.4071695374636281E-3</v>
      </c>
      <c r="Q56" s="66">
        <f t="shared" si="11"/>
        <v>38721.5003</v>
      </c>
    </row>
    <row r="57" spans="1:17" ht="12.95" customHeight="1">
      <c r="A57" s="23" t="s">
        <v>52</v>
      </c>
      <c r="B57" s="70" t="s">
        <v>36</v>
      </c>
      <c r="C57" s="21">
        <v>53766.998299999999</v>
      </c>
      <c r="D57" s="72">
        <v>2.9999999999999997E-4</v>
      </c>
      <c r="E57" s="43">
        <f t="shared" si="8"/>
        <v>15072.500142293437</v>
      </c>
      <c r="F57" s="43">
        <f t="shared" si="9"/>
        <v>15072.5</v>
      </c>
      <c r="G57" s="43">
        <f t="shared" si="6"/>
        <v>2.4011011555558071E-4</v>
      </c>
      <c r="H57" s="69"/>
      <c r="K57" s="43">
        <f t="shared" si="7"/>
        <v>2.4011011555558071E-4</v>
      </c>
      <c r="O57" s="43">
        <f t="shared" ca="1" si="10"/>
        <v>4.4327638370787494E-3</v>
      </c>
      <c r="Q57" s="66">
        <f t="shared" si="11"/>
        <v>38748.498299999999</v>
      </c>
    </row>
    <row r="58" spans="1:17" ht="12.95" customHeight="1">
      <c r="A58" s="23" t="s">
        <v>52</v>
      </c>
      <c r="B58" s="70">
        <v>1</v>
      </c>
      <c r="C58" s="21">
        <v>53777.966</v>
      </c>
      <c r="D58" s="72">
        <v>5.0000000000000001E-4</v>
      </c>
      <c r="E58" s="43">
        <f t="shared" si="8"/>
        <v>15078.999792398929</v>
      </c>
      <c r="F58" s="43">
        <f t="shared" si="9"/>
        <v>15079</v>
      </c>
      <c r="G58" s="43">
        <f t="shared" si="6"/>
        <v>-3.5031212610192597E-4</v>
      </c>
      <c r="H58" s="69"/>
      <c r="K58" s="43">
        <f t="shared" si="7"/>
        <v>-3.5031212610192597E-4</v>
      </c>
      <c r="O58" s="43">
        <f t="shared" ca="1" si="10"/>
        <v>4.4431615212973917E-3</v>
      </c>
      <c r="Q58" s="66">
        <f t="shared" si="11"/>
        <v>38759.466</v>
      </c>
    </row>
    <row r="59" spans="1:17" ht="12.95" customHeight="1">
      <c r="A59" s="23" t="s">
        <v>52</v>
      </c>
      <c r="B59" s="70" t="s">
        <v>36</v>
      </c>
      <c r="C59" s="21">
        <v>53788.935400000002</v>
      </c>
      <c r="D59" s="72">
        <v>2.9999999999999997E-4</v>
      </c>
      <c r="E59" s="43">
        <f t="shared" si="8"/>
        <v>15085.500449954039</v>
      </c>
      <c r="F59" s="43">
        <f t="shared" si="9"/>
        <v>15085.5</v>
      </c>
      <c r="G59" s="43">
        <f t="shared" si="6"/>
        <v>7.5926562567474321E-4</v>
      </c>
      <c r="H59" s="69"/>
      <c r="K59" s="43">
        <f t="shared" si="7"/>
        <v>7.5926562567474321E-4</v>
      </c>
      <c r="O59" s="43">
        <f t="shared" ca="1" si="10"/>
        <v>4.453559205516034E-3</v>
      </c>
      <c r="Q59" s="66">
        <f t="shared" si="11"/>
        <v>38770.435400000002</v>
      </c>
    </row>
    <row r="60" spans="1:17" ht="12.95" customHeight="1">
      <c r="A60" s="23" t="s">
        <v>52</v>
      </c>
      <c r="B60" s="70" t="s">
        <v>36</v>
      </c>
      <c r="C60" s="21">
        <v>53837.8704</v>
      </c>
      <c r="D60" s="72">
        <v>2.0000000000000001E-4</v>
      </c>
      <c r="E60" s="43">
        <f t="shared" si="8"/>
        <v>15114.500183527367</v>
      </c>
      <c r="F60" s="43">
        <f t="shared" si="9"/>
        <v>15114.5</v>
      </c>
      <c r="G60" s="43">
        <f t="shared" si="6"/>
        <v>3.0968945065978914E-4</v>
      </c>
      <c r="H60" s="69"/>
      <c r="K60" s="43">
        <f t="shared" si="7"/>
        <v>3.0968945065978914E-4</v>
      </c>
      <c r="O60" s="43">
        <f t="shared" ca="1" si="10"/>
        <v>4.4999488735684399E-3</v>
      </c>
      <c r="Q60" s="66">
        <f t="shared" si="11"/>
        <v>38819.3704</v>
      </c>
    </row>
    <row r="61" spans="1:17" ht="12.95" customHeight="1">
      <c r="A61" s="23" t="s">
        <v>52</v>
      </c>
      <c r="B61" s="70" t="s">
        <v>36</v>
      </c>
      <c r="C61" s="21">
        <v>53842.933299999997</v>
      </c>
      <c r="D61" s="72">
        <v>4.0000000000000002E-4</v>
      </c>
      <c r="E61" s="43">
        <f t="shared" si="8"/>
        <v>15117.500546276082</v>
      </c>
      <c r="F61" s="43">
        <f t="shared" si="9"/>
        <v>15117.5</v>
      </c>
      <c r="G61" s="43">
        <f t="shared" si="6"/>
        <v>9.2180226783966646E-4</v>
      </c>
      <c r="H61" s="69"/>
      <c r="K61" s="43">
        <f t="shared" si="7"/>
        <v>9.2180226783966646E-4</v>
      </c>
      <c r="O61" s="43">
        <f t="shared" ca="1" si="10"/>
        <v>4.5047478047462765E-3</v>
      </c>
      <c r="Q61" s="66">
        <f t="shared" si="11"/>
        <v>38824.433299999997</v>
      </c>
    </row>
    <row r="62" spans="1:17" ht="12.95" customHeight="1">
      <c r="A62" s="23" t="s">
        <v>52</v>
      </c>
      <c r="B62" s="70">
        <v>1</v>
      </c>
      <c r="C62" s="21">
        <v>53843.777300000002</v>
      </c>
      <c r="D62" s="72">
        <v>5.9999999999999995E-4</v>
      </c>
      <c r="E62" s="43">
        <f t="shared" si="8"/>
        <v>15118.000715380731</v>
      </c>
      <c r="F62" s="43">
        <f t="shared" si="9"/>
        <v>15118</v>
      </c>
      <c r="G62" s="43">
        <f t="shared" si="6"/>
        <v>1.2071544042555615E-3</v>
      </c>
      <c r="H62" s="69"/>
      <c r="K62" s="43">
        <f t="shared" si="7"/>
        <v>1.2071544042555615E-3</v>
      </c>
      <c r="O62" s="43">
        <f t="shared" ca="1" si="10"/>
        <v>4.5055476266092492E-3</v>
      </c>
      <c r="Q62" s="66">
        <f t="shared" si="11"/>
        <v>38825.277300000002</v>
      </c>
    </row>
    <row r="63" spans="1:17" ht="12.95" customHeight="1">
      <c r="A63" s="67" t="s">
        <v>219</v>
      </c>
      <c r="B63" s="68" t="s">
        <v>36</v>
      </c>
      <c r="C63" s="67">
        <v>53907.055200000003</v>
      </c>
      <c r="E63" s="27">
        <f t="shared" si="8"/>
        <v>15155.500301384202</v>
      </c>
      <c r="F63" s="43">
        <f t="shared" si="9"/>
        <v>15155.5</v>
      </c>
      <c r="G63" s="43">
        <f t="shared" si="6"/>
        <v>5.0856453162850812E-4</v>
      </c>
      <c r="H63" s="69"/>
      <c r="K63" s="43">
        <f t="shared" si="7"/>
        <v>5.0856453162850812E-4</v>
      </c>
      <c r="O63" s="43">
        <f t="shared" ca="1" si="10"/>
        <v>4.5655342663321885E-3</v>
      </c>
      <c r="Q63" s="66">
        <f t="shared" si="11"/>
        <v>38888.555200000003</v>
      </c>
    </row>
    <row r="64" spans="1:17" ht="12.95" customHeight="1">
      <c r="A64" s="23" t="s">
        <v>52</v>
      </c>
      <c r="B64" s="24" t="s">
        <v>36</v>
      </c>
      <c r="C64" s="25">
        <v>54171.981699999997</v>
      </c>
      <c r="D64" s="25">
        <v>4.0000000000000002E-4</v>
      </c>
      <c r="E64" s="27">
        <f t="shared" si="8"/>
        <v>15312.500360983966</v>
      </c>
      <c r="F64" s="43">
        <f t="shared" si="9"/>
        <v>15312.5</v>
      </c>
      <c r="G64" s="43">
        <f t="shared" si="6"/>
        <v>6.0913492052350193E-4</v>
      </c>
      <c r="H64" s="69"/>
      <c r="K64" s="43">
        <f t="shared" si="7"/>
        <v>6.0913492052350193E-4</v>
      </c>
      <c r="O64" s="43">
        <f t="shared" ca="1" si="10"/>
        <v>4.8166783313055676E-3</v>
      </c>
      <c r="Q64" s="66">
        <f t="shared" si="11"/>
        <v>39153.481699999997</v>
      </c>
    </row>
    <row r="65" spans="1:18" ht="12.95" customHeight="1">
      <c r="A65" s="23" t="s">
        <v>53</v>
      </c>
      <c r="B65" s="24"/>
      <c r="C65" s="23">
        <v>54207.415099999998</v>
      </c>
      <c r="D65" s="23">
        <v>5.9999999999999995E-4</v>
      </c>
      <c r="E65" s="27">
        <f t="shared" si="8"/>
        <v>15333.498811164762</v>
      </c>
      <c r="F65" s="43">
        <f t="shared" si="9"/>
        <v>15333.5</v>
      </c>
      <c r="G65" s="43">
        <f t="shared" si="6"/>
        <v>-2.0060754031874239E-3</v>
      </c>
      <c r="H65" s="69"/>
      <c r="K65" s="43">
        <f t="shared" si="7"/>
        <v>-2.0060754031874239E-3</v>
      </c>
      <c r="O65" s="43">
        <f t="shared" ca="1" si="10"/>
        <v>4.8502708495504129E-3</v>
      </c>
      <c r="Q65" s="66">
        <f t="shared" si="11"/>
        <v>39188.915099999998</v>
      </c>
    </row>
    <row r="66" spans="1:18" ht="12.95" customHeight="1">
      <c r="A66" s="25" t="s">
        <v>55</v>
      </c>
      <c r="B66" s="24" t="s">
        <v>36</v>
      </c>
      <c r="C66" s="25">
        <v>54210.7929</v>
      </c>
      <c r="D66" s="25">
        <v>2.9999999999999997E-4</v>
      </c>
      <c r="E66" s="27">
        <f t="shared" si="8"/>
        <v>15335.500554294711</v>
      </c>
      <c r="F66" s="43">
        <f t="shared" si="9"/>
        <v>15335.5</v>
      </c>
      <c r="G66" s="43">
        <f t="shared" si="6"/>
        <v>9.3533313338411972E-4</v>
      </c>
      <c r="H66" s="69"/>
      <c r="K66" s="43">
        <f t="shared" si="7"/>
        <v>9.3533313338411972E-4</v>
      </c>
      <c r="O66" s="43">
        <f t="shared" ca="1" si="10"/>
        <v>4.853470137002304E-3</v>
      </c>
      <c r="Q66" s="66">
        <f t="shared" si="11"/>
        <v>39192.2929</v>
      </c>
    </row>
    <row r="67" spans="1:18" ht="12.95" customHeight="1">
      <c r="A67" s="25" t="s">
        <v>55</v>
      </c>
      <c r="B67" s="24" t="s">
        <v>40</v>
      </c>
      <c r="C67" s="25">
        <v>54221.761299999998</v>
      </c>
      <c r="D67" s="25">
        <v>4.0000000000000002E-4</v>
      </c>
      <c r="E67" s="27">
        <f t="shared" si="8"/>
        <v>15342.000619232396</v>
      </c>
      <c r="F67" s="43">
        <f t="shared" si="9"/>
        <v>15342</v>
      </c>
      <c r="G67" s="43">
        <f t="shared" si="6"/>
        <v>1.0449108885950409E-3</v>
      </c>
      <c r="H67" s="69"/>
      <c r="K67" s="43">
        <f t="shared" si="7"/>
        <v>1.0449108885950409E-3</v>
      </c>
      <c r="O67" s="43">
        <f t="shared" ca="1" si="10"/>
        <v>4.8638678212209463E-3</v>
      </c>
      <c r="Q67" s="66">
        <f t="shared" si="11"/>
        <v>39203.261299999998</v>
      </c>
    </row>
    <row r="68" spans="1:18" ht="12.95" customHeight="1">
      <c r="A68" s="25" t="s">
        <v>55</v>
      </c>
      <c r="B68" s="24" t="s">
        <v>36</v>
      </c>
      <c r="C68" s="25">
        <v>54242.853600000002</v>
      </c>
      <c r="D68" s="25">
        <v>2.0000000000000001E-4</v>
      </c>
      <c r="E68" s="27">
        <f t="shared" si="8"/>
        <v>15354.500283694415</v>
      </c>
      <c r="F68" s="43">
        <f t="shared" si="9"/>
        <v>15354.5</v>
      </c>
      <c r="G68" s="43">
        <f t="shared" si="6"/>
        <v>4.7871426795609295E-4</v>
      </c>
      <c r="H68" s="69"/>
      <c r="K68" s="43">
        <f t="shared" si="7"/>
        <v>4.7871426795609295E-4</v>
      </c>
      <c r="O68" s="43">
        <f t="shared" ca="1" si="10"/>
        <v>4.8838633677952617E-3</v>
      </c>
      <c r="Q68" s="66">
        <f t="shared" si="11"/>
        <v>39224.353600000002</v>
      </c>
    </row>
    <row r="69" spans="1:18" ht="12.95" customHeight="1">
      <c r="A69" s="25" t="s">
        <v>55</v>
      </c>
      <c r="B69" s="24" t="s">
        <v>36</v>
      </c>
      <c r="C69" s="25">
        <v>54259.728300000002</v>
      </c>
      <c r="D69" s="25">
        <v>2.9999999999999997E-4</v>
      </c>
      <c r="E69" s="27">
        <f t="shared" si="8"/>
        <v>15364.500524915011</v>
      </c>
      <c r="F69" s="43">
        <f t="shared" si="9"/>
        <v>15364.5</v>
      </c>
      <c r="G69" s="43">
        <f t="shared" si="6"/>
        <v>8.8575696281623095E-4</v>
      </c>
      <c r="H69" s="69"/>
      <c r="K69" s="43">
        <f t="shared" si="7"/>
        <v>8.8575696281623095E-4</v>
      </c>
      <c r="O69" s="43">
        <f t="shared" ca="1" si="10"/>
        <v>4.8998598050547099E-3</v>
      </c>
      <c r="Q69" s="66">
        <f t="shared" si="11"/>
        <v>39241.228300000002</v>
      </c>
    </row>
    <row r="70" spans="1:18" ht="12.95" customHeight="1">
      <c r="A70" s="67" t="s">
        <v>252</v>
      </c>
      <c r="B70" s="68" t="s">
        <v>40</v>
      </c>
      <c r="C70" s="67">
        <v>54559.249900000003</v>
      </c>
      <c r="E70" s="27">
        <f t="shared" si="8"/>
        <v>15542.002243510236</v>
      </c>
      <c r="F70" s="43">
        <f t="shared" si="9"/>
        <v>15542</v>
      </c>
      <c r="G70" s="43">
        <f t="shared" si="6"/>
        <v>3.7857649003854021E-3</v>
      </c>
      <c r="H70" s="69"/>
      <c r="K70" s="43">
        <f t="shared" si="7"/>
        <v>3.7857649003854021E-3</v>
      </c>
      <c r="O70" s="43">
        <f t="shared" ca="1" si="10"/>
        <v>5.1837965664099615E-3</v>
      </c>
      <c r="Q70" s="66">
        <f t="shared" si="11"/>
        <v>39540.749900000003</v>
      </c>
    </row>
    <row r="71" spans="1:18" ht="12.95" customHeight="1">
      <c r="A71" s="67" t="s">
        <v>252</v>
      </c>
      <c r="B71" s="68" t="s">
        <v>36</v>
      </c>
      <c r="C71" s="67">
        <v>54614.088100000001</v>
      </c>
      <c r="E71" s="27">
        <f t="shared" si="8"/>
        <v>15574.500316252464</v>
      </c>
      <c r="F71" s="43">
        <f t="shared" si="9"/>
        <v>15574.5</v>
      </c>
      <c r="G71" s="43">
        <f t="shared" si="6"/>
        <v>5.3365367784863338E-4</v>
      </c>
      <c r="H71" s="69"/>
      <c r="K71" s="43">
        <f t="shared" si="7"/>
        <v>5.3365367784863338E-4</v>
      </c>
      <c r="O71" s="43">
        <f t="shared" ca="1" si="10"/>
        <v>5.2357849875031767E-3</v>
      </c>
      <c r="Q71" s="66">
        <f t="shared" si="11"/>
        <v>39595.588100000001</v>
      </c>
    </row>
    <row r="72" spans="1:18" ht="12.95" customHeight="1">
      <c r="A72" s="67" t="s">
        <v>263</v>
      </c>
      <c r="B72" s="68" t="s">
        <v>36</v>
      </c>
      <c r="C72" s="67">
        <v>55277.251499999998</v>
      </c>
      <c r="E72" s="27">
        <f t="shared" si="8"/>
        <v>15967.502501101413</v>
      </c>
      <c r="F72" s="43">
        <f t="shared" si="9"/>
        <v>15967.5</v>
      </c>
      <c r="G72" s="43">
        <f t="shared" si="6"/>
        <v>4.2204317942378111E-3</v>
      </c>
      <c r="H72" s="69"/>
      <c r="K72" s="43">
        <f t="shared" si="7"/>
        <v>4.2204317942378111E-3</v>
      </c>
      <c r="O72" s="43">
        <f t="shared" ca="1" si="10"/>
        <v>5.8644449717995956E-3</v>
      </c>
      <c r="Q72" s="66">
        <f t="shared" si="11"/>
        <v>40258.751499999998</v>
      </c>
    </row>
    <row r="73" spans="1:18" ht="12.95" customHeight="1">
      <c r="A73" s="23" t="s">
        <v>57</v>
      </c>
      <c r="B73" s="26" t="s">
        <v>36</v>
      </c>
      <c r="C73" s="23">
        <v>55656.920700000002</v>
      </c>
      <c r="D73" s="23">
        <v>5.9999999999999995E-4</v>
      </c>
      <c r="E73" s="27">
        <f t="shared" si="8"/>
        <v>16192.501083833593</v>
      </c>
      <c r="F73" s="43">
        <f t="shared" si="9"/>
        <v>16192.5</v>
      </c>
      <c r="G73" s="43">
        <f t="shared" si="6"/>
        <v>1.8288925566594116E-3</v>
      </c>
      <c r="H73" s="69"/>
      <c r="K73" s="43">
        <f t="shared" si="7"/>
        <v>1.8288925566594116E-3</v>
      </c>
      <c r="O73" s="43">
        <f t="shared" ca="1" si="10"/>
        <v>6.2243648101372381E-3</v>
      </c>
      <c r="Q73" s="66">
        <f t="shared" si="11"/>
        <v>40638.420700000002</v>
      </c>
    </row>
    <row r="74" spans="1:18" ht="12.95" customHeight="1">
      <c r="A74" s="23" t="s">
        <v>58</v>
      </c>
      <c r="B74" s="26" t="s">
        <v>40</v>
      </c>
      <c r="C74" s="23">
        <v>55760.698900000003</v>
      </c>
      <c r="D74" s="23">
        <v>5.0000000000000001E-4</v>
      </c>
      <c r="E74" s="27">
        <f t="shared" si="8"/>
        <v>16254.001853236265</v>
      </c>
      <c r="F74" s="43">
        <f t="shared" si="9"/>
        <v>16254</v>
      </c>
      <c r="G74" s="43">
        <f t="shared" si="6"/>
        <v>3.1272051637643017E-3</v>
      </c>
      <c r="H74" s="69"/>
      <c r="K74" s="43">
        <f t="shared" si="7"/>
        <v>3.1272051637643017E-3</v>
      </c>
      <c r="O74" s="43">
        <f t="shared" ca="1" si="10"/>
        <v>6.3227428992828592E-3</v>
      </c>
      <c r="Q74" s="66">
        <f t="shared" si="11"/>
        <v>40742.198900000003</v>
      </c>
    </row>
    <row r="75" spans="1:18" ht="12.95" customHeight="1">
      <c r="A75" s="73" t="s">
        <v>59</v>
      </c>
      <c r="B75" s="74" t="s">
        <v>40</v>
      </c>
      <c r="C75" s="73">
        <v>56018.874499999998</v>
      </c>
      <c r="D75" s="73">
        <v>2.0000000000000001E-4</v>
      </c>
      <c r="E75" s="27">
        <f t="shared" si="8"/>
        <v>16407.001211878021</v>
      </c>
      <c r="F75" s="43">
        <f t="shared" si="9"/>
        <v>16407</v>
      </c>
      <c r="G75" s="43">
        <f t="shared" si="6"/>
        <v>2.0449584771995433E-3</v>
      </c>
      <c r="H75" s="69"/>
      <c r="K75" s="43">
        <f t="shared" si="7"/>
        <v>2.0449584771995433E-3</v>
      </c>
      <c r="O75" s="43">
        <f t="shared" ca="1" si="10"/>
        <v>6.5674883893524563E-3</v>
      </c>
      <c r="Q75" s="66">
        <f t="shared" si="11"/>
        <v>41000.374499999998</v>
      </c>
    </row>
    <row r="76" spans="1:18" ht="12.95" customHeight="1">
      <c r="A76" s="75" t="s">
        <v>286</v>
      </c>
      <c r="B76" s="76"/>
      <c r="C76" s="75">
        <v>57176.450299999997</v>
      </c>
      <c r="D76" s="75">
        <v>2.3E-3</v>
      </c>
      <c r="E76" s="27">
        <f t="shared" si="8"/>
        <v>17093.00079890027</v>
      </c>
      <c r="F76" s="43">
        <f t="shared" si="9"/>
        <v>17093</v>
      </c>
      <c r="G76" s="43">
        <f t="shared" si="6"/>
        <v>1.3480877169058658E-3</v>
      </c>
      <c r="H76" s="69"/>
      <c r="K76" s="43">
        <f t="shared" si="7"/>
        <v>1.3480877169058658E-3</v>
      </c>
      <c r="O76" s="43">
        <f t="shared" ca="1" si="10"/>
        <v>7.6648439853507812E-3</v>
      </c>
      <c r="Q76" s="66">
        <f t="shared" si="11"/>
        <v>42157.950299999997</v>
      </c>
    </row>
    <row r="77" spans="1:18" ht="12.95" customHeight="1">
      <c r="A77" s="77" t="s">
        <v>287</v>
      </c>
      <c r="B77" s="78" t="s">
        <v>40</v>
      </c>
      <c r="C77" s="79">
        <v>58179.630770000163</v>
      </c>
      <c r="D77" s="79">
        <v>2.0000000000000001E-4</v>
      </c>
      <c r="E77" s="27">
        <f t="shared" si="8"/>
        <v>17687.503023401594</v>
      </c>
      <c r="F77" s="43">
        <f t="shared" si="9"/>
        <v>17687.5</v>
      </c>
      <c r="G77" s="43">
        <f t="shared" si="6"/>
        <v>5.1017764199059457E-3</v>
      </c>
      <c r="H77" s="69"/>
      <c r="K77" s="43">
        <f t="shared" si="7"/>
        <v>5.1017764199059457E-3</v>
      </c>
      <c r="O77" s="43">
        <f t="shared" ca="1" si="10"/>
        <v>8.61583218042513E-3</v>
      </c>
      <c r="Q77" s="66">
        <f t="shared" si="11"/>
        <v>43161.130770000163</v>
      </c>
    </row>
    <row r="78" spans="1:18" ht="12.95" customHeight="1">
      <c r="A78" s="42" t="s">
        <v>291</v>
      </c>
      <c r="B78" s="80" t="s">
        <v>36</v>
      </c>
      <c r="C78" s="81">
        <v>59324.680999999997</v>
      </c>
      <c r="D78" s="82">
        <v>2.9999999999999997E-4</v>
      </c>
      <c r="E78" s="27">
        <f t="shared" si="8"/>
        <v>18366.079739414159</v>
      </c>
      <c r="F78" s="43">
        <f t="shared" si="9"/>
        <v>18366</v>
      </c>
      <c r="G78" s="43">
        <f t="shared" si="6"/>
        <v>0.13455462347337743</v>
      </c>
      <c r="H78" s="69"/>
      <c r="O78" s="43">
        <f t="shared" ca="1" si="10"/>
        <v>9.7011904484788671E-3</v>
      </c>
      <c r="Q78" s="66">
        <f t="shared" si="11"/>
        <v>44306.180999999997</v>
      </c>
      <c r="R78" s="43">
        <f>G78</f>
        <v>0.13455462347337743</v>
      </c>
    </row>
    <row r="79" spans="1:18" ht="12.95" customHeight="1">
      <c r="A79" s="46" t="s">
        <v>290</v>
      </c>
      <c r="C79" s="41">
        <v>59355.769699999997</v>
      </c>
      <c r="D79" s="23">
        <v>5.9999999999999995E-4</v>
      </c>
      <c r="E79" s="27">
        <f t="shared" si="8"/>
        <v>18384.503444679125</v>
      </c>
      <c r="F79" s="43">
        <f t="shared" si="9"/>
        <v>18384.5</v>
      </c>
      <c r="G79" s="43">
        <f t="shared" si="6"/>
        <v>5.8126524745603092E-3</v>
      </c>
      <c r="H79" s="69"/>
      <c r="K79" s="43">
        <f>G79</f>
        <v>5.8126524745603092E-3</v>
      </c>
      <c r="O79" s="43">
        <f t="shared" ca="1" si="10"/>
        <v>9.730783857408852E-3</v>
      </c>
      <c r="Q79" s="66">
        <f t="shared" si="11"/>
        <v>44337.269699999997</v>
      </c>
    </row>
  </sheetData>
  <protectedRanges>
    <protectedRange sqref="A77:D77" name="Range1"/>
  </protectedRanges>
  <sortState xmlns:xlrd2="http://schemas.microsoft.com/office/spreadsheetml/2017/richdata2" ref="A21:R79">
    <sortCondition ref="C21:C79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6"/>
  <sheetViews>
    <sheetView workbookViewId="0">
      <selection activeCell="C1" sqref="C1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30</v>
      </c>
      <c r="C1" s="19" t="s">
        <v>42</v>
      </c>
    </row>
    <row r="2" spans="1:4">
      <c r="A2" t="s">
        <v>26</v>
      </c>
    </row>
    <row r="4" spans="1:4">
      <c r="A4" s="8" t="s">
        <v>0</v>
      </c>
      <c r="C4" s="3">
        <v>28333.22</v>
      </c>
      <c r="D4" s="4">
        <v>1.6873910000000001</v>
      </c>
    </row>
    <row r="6" spans="1:4">
      <c r="A6" s="8" t="s">
        <v>1</v>
      </c>
    </row>
    <row r="7" spans="1:4">
      <c r="A7" t="s">
        <v>2</v>
      </c>
      <c r="C7">
        <f>+C4</f>
        <v>28333.22</v>
      </c>
    </row>
    <row r="8" spans="1:4">
      <c r="A8" t="s">
        <v>3</v>
      </c>
      <c r="C8">
        <f>+D4</f>
        <v>1.6873910000000001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INTERCEPT(G21:G93,F21:F93)</f>
        <v>1.0497130826311873E-3</v>
      </c>
      <c r="D11" s="6"/>
    </row>
    <row r="12" spans="1:4">
      <c r="A12" t="s">
        <v>17</v>
      </c>
      <c r="C12">
        <f>SLOPE(G21:G93,F21:F93)</f>
        <v>3.8295729964071358E-5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 s="18">
        <v>53131.680800000002</v>
      </c>
    </row>
    <row r="16" spans="1:4">
      <c r="A16" s="8" t="s">
        <v>4</v>
      </c>
      <c r="C16">
        <f>+C8+C12</f>
        <v>1.6874292957299641</v>
      </c>
    </row>
    <row r="17" spans="1:32" ht="13.5" thickBot="1"/>
    <row r="18" spans="1:32">
      <c r="A18" s="8" t="s">
        <v>5</v>
      </c>
      <c r="C18" s="3">
        <f>+C15</f>
        <v>53131.680800000002</v>
      </c>
      <c r="D18" s="4">
        <f>+C16</f>
        <v>1.6874292957299641</v>
      </c>
    </row>
    <row r="19" spans="1:32" ht="13.5" thickTop="1"/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37</v>
      </c>
      <c r="J20" s="10" t="s">
        <v>41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2">
      <c r="A21" t="s">
        <v>12</v>
      </c>
      <c r="C21">
        <v>28333.22</v>
      </c>
      <c r="D21" s="6" t="s">
        <v>14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si="2">+C$11+C$12*F21</f>
        <v>1.0497130826311873E-3</v>
      </c>
      <c r="Q21" s="2">
        <f t="shared" ref="Q21:Q26" si="3">+C21-15018.5</f>
        <v>13314.720000000001</v>
      </c>
    </row>
    <row r="22" spans="1:32">
      <c r="A22" t="s">
        <v>33</v>
      </c>
      <c r="C22" s="11">
        <v>49066.635000000002</v>
      </c>
      <c r="D22">
        <v>0.01</v>
      </c>
      <c r="E22">
        <f t="shared" si="0"/>
        <v>12287.261814244594</v>
      </c>
      <c r="F22" s="13">
        <f t="shared" ref="F22:F30" si="4">ROUND(2*E22,0)/2-0.5</f>
        <v>12287</v>
      </c>
      <c r="G22">
        <f t="shared" si="1"/>
        <v>0.44178299999475712</v>
      </c>
      <c r="I22">
        <f>G22</f>
        <v>0.44178299999475712</v>
      </c>
      <c r="O22">
        <f t="shared" si="2"/>
        <v>0.47158934715117595</v>
      </c>
      <c r="Q22" s="2">
        <f t="shared" si="3"/>
        <v>34048.135000000002</v>
      </c>
      <c r="AA22">
        <v>16</v>
      </c>
      <c r="AC22" t="s">
        <v>31</v>
      </c>
      <c r="AD22" t="s">
        <v>32</v>
      </c>
      <c r="AF22" t="s">
        <v>34</v>
      </c>
    </row>
    <row r="23" spans="1:32">
      <c r="A23" t="s">
        <v>33</v>
      </c>
      <c r="B23" s="6" t="s">
        <v>36</v>
      </c>
      <c r="C23" s="11">
        <v>49094.53</v>
      </c>
      <c r="D23">
        <v>0.01</v>
      </c>
      <c r="E23">
        <f t="shared" si="0"/>
        <v>12303.793252423413</v>
      </c>
      <c r="F23" s="13">
        <f t="shared" si="4"/>
        <v>12303.5</v>
      </c>
      <c r="G23">
        <f t="shared" si="1"/>
        <v>0.49483149999286979</v>
      </c>
      <c r="I23">
        <f>G23</f>
        <v>0.49483149999286979</v>
      </c>
      <c r="O23">
        <f t="shared" si="2"/>
        <v>0.47222122669558314</v>
      </c>
      <c r="Q23" s="2">
        <f t="shared" si="3"/>
        <v>34076.03</v>
      </c>
      <c r="AA23">
        <v>6</v>
      </c>
      <c r="AC23" t="s">
        <v>31</v>
      </c>
      <c r="AD23" t="s">
        <v>32</v>
      </c>
      <c r="AF23" t="s">
        <v>34</v>
      </c>
    </row>
    <row r="24" spans="1:32">
      <c r="A24" t="s">
        <v>35</v>
      </c>
      <c r="C24" s="11">
        <v>49472.506999999998</v>
      </c>
      <c r="D24">
        <v>7.0000000000000001E-3</v>
      </c>
      <c r="E24">
        <f t="shared" si="0"/>
        <v>12527.794091588728</v>
      </c>
      <c r="F24" s="13">
        <f t="shared" si="4"/>
        <v>12527.5</v>
      </c>
      <c r="G24">
        <f t="shared" si="1"/>
        <v>0.49624749999202322</v>
      </c>
      <c r="I24">
        <f>G24</f>
        <v>0.49624749999202322</v>
      </c>
      <c r="O24">
        <f t="shared" si="2"/>
        <v>0.48079947020753511</v>
      </c>
      <c r="Q24" s="2">
        <f t="shared" si="3"/>
        <v>34454.006999999998</v>
      </c>
      <c r="AA24">
        <v>54</v>
      </c>
      <c r="AC24" t="s">
        <v>31</v>
      </c>
      <c r="AD24" t="s">
        <v>32</v>
      </c>
      <c r="AF24" t="s">
        <v>34</v>
      </c>
    </row>
    <row r="25" spans="1:32" ht="12.75" customHeight="1">
      <c r="A25" t="s">
        <v>38</v>
      </c>
      <c r="B25" s="14" t="s">
        <v>36</v>
      </c>
      <c r="C25" s="12">
        <v>52823.724999999999</v>
      </c>
      <c r="D25" s="12">
        <v>6.9999999999999999E-4</v>
      </c>
      <c r="E25">
        <f t="shared" si="0"/>
        <v>14513.829337717219</v>
      </c>
      <c r="F25" s="13">
        <f t="shared" si="4"/>
        <v>14513.5</v>
      </c>
      <c r="G25">
        <f t="shared" si="1"/>
        <v>0.55572149999352405</v>
      </c>
      <c r="H25" s="12"/>
      <c r="J25">
        <f t="shared" ref="J25:J30" si="5">G25</f>
        <v>0.55572149999352405</v>
      </c>
      <c r="O25">
        <f t="shared" si="2"/>
        <v>0.55685478991618087</v>
      </c>
      <c r="Q25" s="2">
        <f t="shared" si="3"/>
        <v>37805.224999999999</v>
      </c>
    </row>
    <row r="26" spans="1:32">
      <c r="A26" t="s">
        <v>38</v>
      </c>
      <c r="B26" s="15"/>
      <c r="C26" s="12">
        <v>52834.693700000003</v>
      </c>
      <c r="D26" s="12">
        <v>5.0000000000000001E-4</v>
      </c>
      <c r="E26">
        <f t="shared" si="0"/>
        <v>14520.329727964652</v>
      </c>
      <c r="F26" s="13">
        <f t="shared" si="4"/>
        <v>14520</v>
      </c>
      <c r="G26">
        <f t="shared" si="1"/>
        <v>0.55638000000180909</v>
      </c>
      <c r="H26" s="12"/>
      <c r="J26">
        <f t="shared" si="5"/>
        <v>0.55638000000180909</v>
      </c>
      <c r="O26">
        <f t="shared" si="2"/>
        <v>0.55710371216094723</v>
      </c>
      <c r="Q26" s="2">
        <f t="shared" si="3"/>
        <v>37816.193700000003</v>
      </c>
    </row>
    <row r="27" spans="1:32">
      <c r="A27" s="16" t="s">
        <v>39</v>
      </c>
      <c r="B27" s="17" t="s">
        <v>36</v>
      </c>
      <c r="C27" s="18">
        <v>53076.839699999997</v>
      </c>
      <c r="D27" s="18">
        <v>5.0000000000000001E-4</v>
      </c>
      <c r="E27">
        <f>+(C27-C$7)/C$8</f>
        <v>14663.832923133994</v>
      </c>
      <c r="F27" s="13">
        <f t="shared" si="4"/>
        <v>14663.5</v>
      </c>
      <c r="G27">
        <f>+C27-(C$7+F27*C$8)</f>
        <v>0.56177149999712128</v>
      </c>
      <c r="H27" s="12"/>
      <c r="J27">
        <f t="shared" si="5"/>
        <v>0.56177149999712128</v>
      </c>
      <c r="O27">
        <f>+C$11+C$12*F27</f>
        <v>0.56259914941079159</v>
      </c>
      <c r="Q27" s="2">
        <f>+C27-15018.5</f>
        <v>38058.339699999997</v>
      </c>
    </row>
    <row r="28" spans="1:32">
      <c r="A28" s="16" t="s">
        <v>39</v>
      </c>
      <c r="B28" s="17" t="s">
        <v>40</v>
      </c>
      <c r="C28" s="18">
        <v>53109.743199999997</v>
      </c>
      <c r="D28" s="18">
        <v>5.0000000000000001E-4</v>
      </c>
      <c r="E28">
        <f>+(C28-C$7)/C$8</f>
        <v>14683.332553036014</v>
      </c>
      <c r="F28" s="13">
        <f t="shared" si="4"/>
        <v>14683</v>
      </c>
      <c r="G28">
        <f>+C28-(C$7+F28*C$8)</f>
        <v>0.56114699999307049</v>
      </c>
      <c r="H28" s="12"/>
      <c r="J28">
        <f t="shared" si="5"/>
        <v>0.56114699999307049</v>
      </c>
      <c r="O28">
        <f>+C$11+C$12*F28</f>
        <v>0.56334591614509089</v>
      </c>
      <c r="Q28" s="2">
        <f>+C28-15018.5</f>
        <v>38091.243199999997</v>
      </c>
    </row>
    <row r="29" spans="1:32">
      <c r="A29" s="16" t="s">
        <v>39</v>
      </c>
      <c r="B29" s="17" t="s">
        <v>40</v>
      </c>
      <c r="C29" s="18">
        <v>53131.680800000002</v>
      </c>
      <c r="D29" s="18">
        <v>2.4000000000000001E-4</v>
      </c>
      <c r="E29">
        <f>+(C29-C$7)/C$8</f>
        <v>14696.333452057052</v>
      </c>
      <c r="F29" s="13">
        <f t="shared" si="4"/>
        <v>14696</v>
      </c>
      <c r="G29">
        <f>+C29-(C$7+F29*C$8)</f>
        <v>0.5626639999973122</v>
      </c>
      <c r="H29" s="12"/>
      <c r="J29">
        <f t="shared" si="5"/>
        <v>0.5626639999973122</v>
      </c>
      <c r="O29">
        <f>+C$11+C$12*F29</f>
        <v>0.56384376063462383</v>
      </c>
      <c r="Q29" s="2">
        <f>+C29-15018.5</f>
        <v>38113.180800000002</v>
      </c>
    </row>
    <row r="30" spans="1:32">
      <c r="A30" s="16" t="s">
        <v>39</v>
      </c>
      <c r="B30" s="17" t="s">
        <v>36</v>
      </c>
      <c r="C30" s="18">
        <v>53169.648000000001</v>
      </c>
      <c r="D30" s="18">
        <v>6.9999999999999999E-4</v>
      </c>
      <c r="E30">
        <f>+(C30-C$7)/C$8</f>
        <v>14718.833986906413</v>
      </c>
      <c r="F30" s="13">
        <f t="shared" si="4"/>
        <v>14718.5</v>
      </c>
      <c r="G30">
        <f>+C30-(C$7+F30*C$8)</f>
        <v>0.56356650000088848</v>
      </c>
      <c r="H30" s="12"/>
      <c r="J30">
        <f t="shared" si="5"/>
        <v>0.56356650000088848</v>
      </c>
      <c r="O30">
        <f>+C$11+C$12*F30</f>
        <v>0.56470541455881551</v>
      </c>
      <c r="Q30" s="2">
        <f>+C30-15018.5</f>
        <v>38151.148000000001</v>
      </c>
    </row>
    <row r="31" spans="1:32">
      <c r="D31" s="6"/>
    </row>
    <row r="32" spans="1:32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49"/>
  <sheetViews>
    <sheetView topLeftCell="A14" workbookViewId="0">
      <selection activeCell="A40" sqref="A40:C61"/>
    </sheetView>
  </sheetViews>
  <sheetFormatPr defaultRowHeight="12.75"/>
  <cols>
    <col min="1" max="1" width="19.7109375" style="22" customWidth="1"/>
    <col min="2" max="2" width="4.42578125" style="20" customWidth="1"/>
    <col min="3" max="3" width="12.7109375" style="22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22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>
      <c r="A1" s="28" t="s">
        <v>61</v>
      </c>
      <c r="I1" s="29" t="s">
        <v>62</v>
      </c>
      <c r="J1" s="30" t="s">
        <v>63</v>
      </c>
    </row>
    <row r="2" spans="1:16">
      <c r="I2" s="31" t="s">
        <v>64</v>
      </c>
      <c r="J2" s="32" t="s">
        <v>65</v>
      </c>
    </row>
    <row r="3" spans="1:16">
      <c r="A3" s="33" t="s">
        <v>66</v>
      </c>
      <c r="I3" s="31" t="s">
        <v>67</v>
      </c>
      <c r="J3" s="32" t="s">
        <v>68</v>
      </c>
    </row>
    <row r="4" spans="1:16">
      <c r="I4" s="31" t="s">
        <v>69</v>
      </c>
      <c r="J4" s="32" t="s">
        <v>68</v>
      </c>
    </row>
    <row r="5" spans="1:16" ht="13.5" thickBot="1">
      <c r="I5" s="34" t="s">
        <v>70</v>
      </c>
      <c r="J5" s="35" t="s">
        <v>71</v>
      </c>
    </row>
    <row r="10" spans="1:16" ht="13.5" thickBot="1"/>
    <row r="11" spans="1:16" ht="12.75" customHeight="1" thickBot="1">
      <c r="A11" s="22" t="str">
        <f t="shared" ref="A11:A42" si="0">P11</f>
        <v> CTAD 25.2 </v>
      </c>
      <c r="B11" s="6" t="str">
        <f t="shared" ref="B11:B42" si="1">IF(H11=INT(H11),"I","II")</f>
        <v>I</v>
      </c>
      <c r="C11" s="22">
        <f t="shared" ref="C11:C42" si="2">1*G11</f>
        <v>28333.22</v>
      </c>
      <c r="D11" s="20" t="str">
        <f t="shared" ref="D11:D42" si="3">VLOOKUP(F11,I$1:J$5,2,FALSE)</f>
        <v>vis</v>
      </c>
      <c r="E11" s="36">
        <f>VLOOKUP(C11,Active!C$21:E$973,3,FALSE)</f>
        <v>0</v>
      </c>
      <c r="F11" s="6" t="s">
        <v>70</v>
      </c>
      <c r="G11" s="20" t="str">
        <f t="shared" ref="G11:G42" si="4">MID(I11,3,LEN(I11)-3)</f>
        <v>28333.220</v>
      </c>
      <c r="H11" s="22">
        <f t="shared" ref="H11:H42" si="5">1*K11</f>
        <v>0</v>
      </c>
      <c r="I11" s="37" t="s">
        <v>73</v>
      </c>
      <c r="J11" s="38" t="s">
        <v>74</v>
      </c>
      <c r="K11" s="37">
        <v>0</v>
      </c>
      <c r="L11" s="37" t="s">
        <v>75</v>
      </c>
      <c r="M11" s="38" t="s">
        <v>76</v>
      </c>
      <c r="N11" s="38"/>
      <c r="O11" s="39" t="s">
        <v>77</v>
      </c>
      <c r="P11" s="39" t="s">
        <v>78</v>
      </c>
    </row>
    <row r="12" spans="1:16" ht="12.75" customHeight="1" thickBot="1">
      <c r="A12" s="22" t="str">
        <f t="shared" si="0"/>
        <v> BBS 104 </v>
      </c>
      <c r="B12" s="6" t="str">
        <f t="shared" si="1"/>
        <v>I</v>
      </c>
      <c r="C12" s="22">
        <f t="shared" si="2"/>
        <v>49066.635000000002</v>
      </c>
      <c r="D12" s="20" t="str">
        <f t="shared" si="3"/>
        <v>vis</v>
      </c>
      <c r="E12" s="36">
        <f>VLOOKUP(C12,Active!C$21:E$973,3,FALSE)</f>
        <v>12286.982958317636</v>
      </c>
      <c r="F12" s="6" t="s">
        <v>70</v>
      </c>
      <c r="G12" s="20" t="str">
        <f t="shared" si="4"/>
        <v>49066.635</v>
      </c>
      <c r="H12" s="22">
        <f t="shared" si="5"/>
        <v>12287</v>
      </c>
      <c r="I12" s="37" t="s">
        <v>121</v>
      </c>
      <c r="J12" s="38" t="s">
        <v>122</v>
      </c>
      <c r="K12" s="37">
        <v>12287</v>
      </c>
      <c r="L12" s="37" t="s">
        <v>123</v>
      </c>
      <c r="M12" s="38" t="s">
        <v>124</v>
      </c>
      <c r="N12" s="38" t="s">
        <v>125</v>
      </c>
      <c r="O12" s="39" t="s">
        <v>126</v>
      </c>
      <c r="P12" s="39" t="s">
        <v>127</v>
      </c>
    </row>
    <row r="13" spans="1:16" ht="12.75" customHeight="1" thickBot="1">
      <c r="A13" s="22" t="str">
        <f t="shared" si="0"/>
        <v> BBS 104 </v>
      </c>
      <c r="B13" s="6" t="str">
        <f t="shared" si="1"/>
        <v>II</v>
      </c>
      <c r="C13" s="22">
        <f t="shared" si="2"/>
        <v>49094.53</v>
      </c>
      <c r="D13" s="20" t="str">
        <f t="shared" si="3"/>
        <v>vis</v>
      </c>
      <c r="E13" s="36">
        <f>VLOOKUP(C13,Active!C$21:E$973,3,FALSE)</f>
        <v>12303.514021320148</v>
      </c>
      <c r="F13" s="6" t="s">
        <v>70</v>
      </c>
      <c r="G13" s="20" t="str">
        <f t="shared" si="4"/>
        <v>49094.53</v>
      </c>
      <c r="H13" s="22">
        <f t="shared" si="5"/>
        <v>12303.5</v>
      </c>
      <c r="I13" s="37" t="s">
        <v>128</v>
      </c>
      <c r="J13" s="38" t="s">
        <v>129</v>
      </c>
      <c r="K13" s="37">
        <v>12303.5</v>
      </c>
      <c r="L13" s="37" t="s">
        <v>130</v>
      </c>
      <c r="M13" s="38" t="s">
        <v>124</v>
      </c>
      <c r="N13" s="38" t="s">
        <v>125</v>
      </c>
      <c r="O13" s="39" t="s">
        <v>126</v>
      </c>
      <c r="P13" s="39" t="s">
        <v>127</v>
      </c>
    </row>
    <row r="14" spans="1:16" ht="12.75" customHeight="1" thickBot="1">
      <c r="A14" s="22" t="str">
        <f t="shared" si="0"/>
        <v> BBS 107 </v>
      </c>
      <c r="B14" s="6" t="str">
        <f t="shared" si="1"/>
        <v>II</v>
      </c>
      <c r="C14" s="22">
        <f t="shared" si="2"/>
        <v>49472.506999999998</v>
      </c>
      <c r="D14" s="20" t="str">
        <f t="shared" si="3"/>
        <v>vis</v>
      </c>
      <c r="E14" s="36">
        <f>VLOOKUP(C14,Active!C$21:E$973,3,FALSE)</f>
        <v>12527.509776849858</v>
      </c>
      <c r="F14" s="6" t="s">
        <v>70</v>
      </c>
      <c r="G14" s="20" t="str">
        <f t="shared" si="4"/>
        <v>49472.507</v>
      </c>
      <c r="H14" s="22">
        <f t="shared" si="5"/>
        <v>12527.5</v>
      </c>
      <c r="I14" s="37" t="s">
        <v>131</v>
      </c>
      <c r="J14" s="38" t="s">
        <v>132</v>
      </c>
      <c r="K14" s="37">
        <v>12527.5</v>
      </c>
      <c r="L14" s="37" t="s">
        <v>133</v>
      </c>
      <c r="M14" s="38" t="s">
        <v>124</v>
      </c>
      <c r="N14" s="38" t="s">
        <v>125</v>
      </c>
      <c r="O14" s="39" t="s">
        <v>126</v>
      </c>
      <c r="P14" s="39" t="s">
        <v>134</v>
      </c>
    </row>
    <row r="15" spans="1:16" ht="12.75" customHeight="1" thickBot="1">
      <c r="A15" s="22" t="str">
        <f t="shared" si="0"/>
        <v>IBVS 5577 </v>
      </c>
      <c r="B15" s="6" t="str">
        <f t="shared" si="1"/>
        <v>II</v>
      </c>
      <c r="C15" s="22">
        <f t="shared" si="2"/>
        <v>53076.839699999997</v>
      </c>
      <c r="D15" s="20" t="str">
        <f t="shared" si="3"/>
        <v>vis</v>
      </c>
      <c r="E15" s="36">
        <f>VLOOKUP(C15,Active!C$21:E$973,3,FALSE)</f>
        <v>14663.500131598797</v>
      </c>
      <c r="F15" s="6" t="s">
        <v>70</v>
      </c>
      <c r="G15" s="20" t="str">
        <f t="shared" si="4"/>
        <v>53076.8397</v>
      </c>
      <c r="H15" s="22">
        <f t="shared" si="5"/>
        <v>14663.5</v>
      </c>
      <c r="I15" s="37" t="s">
        <v>140</v>
      </c>
      <c r="J15" s="38" t="s">
        <v>141</v>
      </c>
      <c r="K15" s="37">
        <v>14663.5</v>
      </c>
      <c r="L15" s="37" t="s">
        <v>142</v>
      </c>
      <c r="M15" s="38" t="s">
        <v>124</v>
      </c>
      <c r="N15" s="38" t="s">
        <v>125</v>
      </c>
      <c r="O15" s="39" t="s">
        <v>143</v>
      </c>
      <c r="P15" s="40" t="s">
        <v>144</v>
      </c>
    </row>
    <row r="16" spans="1:16" ht="12.75" customHeight="1" thickBot="1">
      <c r="A16" s="22" t="str">
        <f t="shared" si="0"/>
        <v>IBVS 5577 </v>
      </c>
      <c r="B16" s="6" t="str">
        <f t="shared" si="1"/>
        <v>I</v>
      </c>
      <c r="C16" s="22">
        <f t="shared" si="2"/>
        <v>53109.743199999997</v>
      </c>
      <c r="D16" s="20" t="str">
        <f t="shared" si="3"/>
        <v>vis</v>
      </c>
      <c r="E16" s="36">
        <f>VLOOKUP(C16,Active!C$21:E$973,3,FALSE)</f>
        <v>14682.99931896224</v>
      </c>
      <c r="F16" s="6" t="s">
        <v>70</v>
      </c>
      <c r="G16" s="20" t="str">
        <f t="shared" si="4"/>
        <v>53109.7432</v>
      </c>
      <c r="H16" s="22">
        <f t="shared" si="5"/>
        <v>14683</v>
      </c>
      <c r="I16" s="37" t="s">
        <v>145</v>
      </c>
      <c r="J16" s="38" t="s">
        <v>146</v>
      </c>
      <c r="K16" s="37">
        <v>14683</v>
      </c>
      <c r="L16" s="37" t="s">
        <v>147</v>
      </c>
      <c r="M16" s="38" t="s">
        <v>124</v>
      </c>
      <c r="N16" s="38" t="s">
        <v>125</v>
      </c>
      <c r="O16" s="39" t="s">
        <v>143</v>
      </c>
      <c r="P16" s="40" t="s">
        <v>144</v>
      </c>
    </row>
    <row r="17" spans="1:16" ht="12.75" customHeight="1" thickBot="1">
      <c r="A17" s="22" t="str">
        <f t="shared" si="0"/>
        <v>IBVS 5577 </v>
      </c>
      <c r="B17" s="6" t="str">
        <f t="shared" si="1"/>
        <v>I</v>
      </c>
      <c r="C17" s="22">
        <f t="shared" si="2"/>
        <v>53131.680800000002</v>
      </c>
      <c r="D17" s="20" t="str">
        <f t="shared" si="3"/>
        <v>vis</v>
      </c>
      <c r="E17" s="36">
        <f>VLOOKUP(C17,Active!C$21:E$973,3,FALSE)</f>
        <v>14695.999922931554</v>
      </c>
      <c r="F17" s="6" t="s">
        <v>70</v>
      </c>
      <c r="G17" s="20" t="str">
        <f t="shared" si="4"/>
        <v>53131.6808</v>
      </c>
      <c r="H17" s="22">
        <f t="shared" si="5"/>
        <v>14696</v>
      </c>
      <c r="I17" s="37" t="s">
        <v>148</v>
      </c>
      <c r="J17" s="38" t="s">
        <v>149</v>
      </c>
      <c r="K17" s="37">
        <v>14696</v>
      </c>
      <c r="L17" s="37" t="s">
        <v>150</v>
      </c>
      <c r="M17" s="38" t="s">
        <v>124</v>
      </c>
      <c r="N17" s="38" t="s">
        <v>125</v>
      </c>
      <c r="O17" s="39" t="s">
        <v>143</v>
      </c>
      <c r="P17" s="40" t="s">
        <v>144</v>
      </c>
    </row>
    <row r="18" spans="1:16" ht="12.75" customHeight="1" thickBot="1">
      <c r="A18" s="22" t="str">
        <f t="shared" si="0"/>
        <v>IBVS 5577 </v>
      </c>
      <c r="B18" s="6" t="str">
        <f t="shared" si="1"/>
        <v>II</v>
      </c>
      <c r="C18" s="22">
        <f t="shared" si="2"/>
        <v>53169.648000000001</v>
      </c>
      <c r="D18" s="20" t="str">
        <f t="shared" si="3"/>
        <v>vis</v>
      </c>
      <c r="E18" s="36">
        <f>VLOOKUP(C18,Active!C$21:E$973,3,FALSE)</f>
        <v>14718.49994713765</v>
      </c>
      <c r="F18" s="6" t="s">
        <v>70</v>
      </c>
      <c r="G18" s="20" t="str">
        <f t="shared" si="4"/>
        <v>53169.6480</v>
      </c>
      <c r="H18" s="22">
        <f t="shared" si="5"/>
        <v>14718.5</v>
      </c>
      <c r="I18" s="37" t="s">
        <v>151</v>
      </c>
      <c r="J18" s="38" t="s">
        <v>152</v>
      </c>
      <c r="K18" s="37">
        <v>14718.5</v>
      </c>
      <c r="L18" s="37" t="s">
        <v>153</v>
      </c>
      <c r="M18" s="38" t="s">
        <v>124</v>
      </c>
      <c r="N18" s="38" t="s">
        <v>125</v>
      </c>
      <c r="O18" s="39" t="s">
        <v>143</v>
      </c>
      <c r="P18" s="40" t="s">
        <v>144</v>
      </c>
    </row>
    <row r="19" spans="1:16" ht="12.75" customHeight="1" thickBot="1">
      <c r="A19" s="22" t="str">
        <f t="shared" si="0"/>
        <v>IBVS 5670 </v>
      </c>
      <c r="B19" s="6" t="str">
        <f t="shared" si="1"/>
        <v>II</v>
      </c>
      <c r="C19" s="22">
        <f t="shared" si="2"/>
        <v>53389.014900000002</v>
      </c>
      <c r="D19" s="20" t="str">
        <f t="shared" si="3"/>
        <v>vis</v>
      </c>
      <c r="E19" s="36">
        <f>VLOOKUP(C19,Active!C$21:E$973,3,FALSE)</f>
        <v>14848.500594012223</v>
      </c>
      <c r="F19" s="6" t="s">
        <v>70</v>
      </c>
      <c r="G19" s="20" t="str">
        <f t="shared" si="4"/>
        <v>53389.0149</v>
      </c>
      <c r="H19" s="22">
        <f t="shared" si="5"/>
        <v>14848.5</v>
      </c>
      <c r="I19" s="37" t="s">
        <v>154</v>
      </c>
      <c r="J19" s="38" t="s">
        <v>155</v>
      </c>
      <c r="K19" s="37">
        <v>14848.5</v>
      </c>
      <c r="L19" s="37" t="s">
        <v>156</v>
      </c>
      <c r="M19" s="38" t="s">
        <v>124</v>
      </c>
      <c r="N19" s="38" t="s">
        <v>125</v>
      </c>
      <c r="O19" s="39" t="s">
        <v>157</v>
      </c>
      <c r="P19" s="40" t="s">
        <v>158</v>
      </c>
    </row>
    <row r="20" spans="1:16" ht="12.75" customHeight="1" thickBot="1">
      <c r="A20" s="22" t="str">
        <f t="shared" si="0"/>
        <v>IBVS 5670 </v>
      </c>
      <c r="B20" s="6" t="str">
        <f t="shared" si="1"/>
        <v>II</v>
      </c>
      <c r="C20" s="22">
        <f t="shared" si="2"/>
        <v>53476.760300000002</v>
      </c>
      <c r="D20" s="20" t="str">
        <f t="shared" si="3"/>
        <v>vis</v>
      </c>
      <c r="E20" s="36">
        <f>VLOOKUP(C20,Active!C$21:E$973,3,FALSE)</f>
        <v>14900.500046802357</v>
      </c>
      <c r="F20" s="6" t="s">
        <v>70</v>
      </c>
      <c r="G20" s="20" t="str">
        <f t="shared" si="4"/>
        <v>53476.7603</v>
      </c>
      <c r="H20" s="22">
        <f t="shared" si="5"/>
        <v>14900.5</v>
      </c>
      <c r="I20" s="37" t="s">
        <v>165</v>
      </c>
      <c r="J20" s="38" t="s">
        <v>166</v>
      </c>
      <c r="K20" s="37">
        <v>14900.5</v>
      </c>
      <c r="L20" s="37" t="s">
        <v>167</v>
      </c>
      <c r="M20" s="38" t="s">
        <v>124</v>
      </c>
      <c r="N20" s="38" t="s">
        <v>125</v>
      </c>
      <c r="O20" s="39" t="s">
        <v>157</v>
      </c>
      <c r="P20" s="40" t="s">
        <v>158</v>
      </c>
    </row>
    <row r="21" spans="1:16" ht="12.75" customHeight="1" thickBot="1">
      <c r="A21" s="22" t="str">
        <f t="shared" si="0"/>
        <v>IBVS 5670 </v>
      </c>
      <c r="B21" s="6" t="str">
        <f t="shared" si="1"/>
        <v>II</v>
      </c>
      <c r="C21" s="22">
        <f t="shared" si="2"/>
        <v>53508.822999999997</v>
      </c>
      <c r="D21" s="20" t="str">
        <f t="shared" si="3"/>
        <v>vis</v>
      </c>
      <c r="E21" s="36">
        <f>VLOOKUP(C21,Active!C$21:E$973,3,FALSE)</f>
        <v>14919.500961436903</v>
      </c>
      <c r="F21" s="6" t="s">
        <v>70</v>
      </c>
      <c r="G21" s="20" t="str">
        <f t="shared" si="4"/>
        <v>53508.823</v>
      </c>
      <c r="H21" s="22">
        <f t="shared" si="5"/>
        <v>14919.5</v>
      </c>
      <c r="I21" s="37" t="s">
        <v>171</v>
      </c>
      <c r="J21" s="38" t="s">
        <v>172</v>
      </c>
      <c r="K21" s="37">
        <v>14919.5</v>
      </c>
      <c r="L21" s="37" t="s">
        <v>173</v>
      </c>
      <c r="M21" s="38" t="s">
        <v>124</v>
      </c>
      <c r="N21" s="38" t="s">
        <v>125</v>
      </c>
      <c r="O21" s="39" t="s">
        <v>157</v>
      </c>
      <c r="P21" s="40" t="s">
        <v>158</v>
      </c>
    </row>
    <row r="22" spans="1:16" ht="12.75" customHeight="1" thickBot="1">
      <c r="A22" s="22" t="str">
        <f t="shared" si="0"/>
        <v>BAVM 173 </v>
      </c>
      <c r="B22" s="6" t="str">
        <f t="shared" si="1"/>
        <v>II</v>
      </c>
      <c r="C22" s="22">
        <f t="shared" si="2"/>
        <v>53510.510699999999</v>
      </c>
      <c r="D22" s="20" t="str">
        <f t="shared" si="3"/>
        <v>vis</v>
      </c>
      <c r="E22" s="36">
        <f>VLOOKUP(C22,Active!C$21:E$973,3,FALSE)</f>
        <v>14920.501121860971</v>
      </c>
      <c r="F22" s="6" t="s">
        <v>70</v>
      </c>
      <c r="G22" s="20" t="str">
        <f t="shared" si="4"/>
        <v>53510.5107</v>
      </c>
      <c r="H22" s="22">
        <f t="shared" si="5"/>
        <v>14920.5</v>
      </c>
      <c r="I22" s="37" t="s">
        <v>174</v>
      </c>
      <c r="J22" s="38" t="s">
        <v>175</v>
      </c>
      <c r="K22" s="37">
        <v>14920.5</v>
      </c>
      <c r="L22" s="37" t="s">
        <v>176</v>
      </c>
      <c r="M22" s="38" t="s">
        <v>124</v>
      </c>
      <c r="N22" s="38" t="s">
        <v>177</v>
      </c>
      <c r="O22" s="39" t="s">
        <v>178</v>
      </c>
      <c r="P22" s="40" t="s">
        <v>179</v>
      </c>
    </row>
    <row r="23" spans="1:16" ht="12.75" customHeight="1" thickBot="1">
      <c r="A23" s="22" t="str">
        <f t="shared" si="0"/>
        <v>BAVM 173 </v>
      </c>
      <c r="B23" s="6" t="str">
        <f t="shared" si="1"/>
        <v>I</v>
      </c>
      <c r="C23" s="22">
        <f t="shared" si="2"/>
        <v>53516.416100000002</v>
      </c>
      <c r="D23" s="20" t="str">
        <f t="shared" si="3"/>
        <v>vis</v>
      </c>
      <c r="E23" s="36">
        <f>VLOOKUP(C23,Active!C$21:E$973,3,FALSE)</f>
        <v>14924.000764788201</v>
      </c>
      <c r="F23" s="6" t="s">
        <v>70</v>
      </c>
      <c r="G23" s="20" t="str">
        <f t="shared" si="4"/>
        <v>53516.4161</v>
      </c>
      <c r="H23" s="22">
        <f t="shared" si="5"/>
        <v>14924</v>
      </c>
      <c r="I23" s="37" t="s">
        <v>180</v>
      </c>
      <c r="J23" s="38" t="s">
        <v>181</v>
      </c>
      <c r="K23" s="37" t="s">
        <v>182</v>
      </c>
      <c r="L23" s="37" t="s">
        <v>183</v>
      </c>
      <c r="M23" s="38" t="s">
        <v>124</v>
      </c>
      <c r="N23" s="38" t="s">
        <v>177</v>
      </c>
      <c r="O23" s="39" t="s">
        <v>178</v>
      </c>
      <c r="P23" s="40" t="s">
        <v>179</v>
      </c>
    </row>
    <row r="24" spans="1:16" ht="12.75" customHeight="1" thickBot="1">
      <c r="A24" s="22" t="str">
        <f t="shared" si="0"/>
        <v>IBVS 5764 </v>
      </c>
      <c r="B24" s="6" t="str">
        <f t="shared" si="1"/>
        <v>II</v>
      </c>
      <c r="C24" s="22">
        <f t="shared" si="2"/>
        <v>53740.0003</v>
      </c>
      <c r="D24" s="20" t="str">
        <f t="shared" si="3"/>
        <v>vis</v>
      </c>
      <c r="E24" s="36">
        <f>VLOOKUP(C24,Active!C$21:E$973,3,FALSE)</f>
        <v>15056.500657118966</v>
      </c>
      <c r="F24" s="6" t="s">
        <v>70</v>
      </c>
      <c r="G24" s="20" t="str">
        <f t="shared" si="4"/>
        <v>53740.0003</v>
      </c>
      <c r="H24" s="22">
        <f t="shared" si="5"/>
        <v>15056.5</v>
      </c>
      <c r="I24" s="37" t="s">
        <v>184</v>
      </c>
      <c r="J24" s="38" t="s">
        <v>185</v>
      </c>
      <c r="K24" s="37" t="s">
        <v>186</v>
      </c>
      <c r="L24" s="37" t="s">
        <v>187</v>
      </c>
      <c r="M24" s="38" t="s">
        <v>188</v>
      </c>
      <c r="N24" s="38" t="s">
        <v>70</v>
      </c>
      <c r="O24" s="39" t="s">
        <v>157</v>
      </c>
      <c r="P24" s="40" t="s">
        <v>189</v>
      </c>
    </row>
    <row r="25" spans="1:16" ht="12.75" customHeight="1" thickBot="1">
      <c r="A25" s="22" t="str">
        <f t="shared" si="0"/>
        <v>IBVS 5764 </v>
      </c>
      <c r="B25" s="6" t="str">
        <f t="shared" si="1"/>
        <v>II</v>
      </c>
      <c r="C25" s="22">
        <f t="shared" si="2"/>
        <v>53766.998299999999</v>
      </c>
      <c r="D25" s="20" t="str">
        <f t="shared" si="3"/>
        <v>vis</v>
      </c>
      <c r="E25" s="36">
        <f>VLOOKUP(C25,Active!C$21:E$973,3,FALSE)</f>
        <v>15072.500142293437</v>
      </c>
      <c r="F25" s="6" t="s">
        <v>70</v>
      </c>
      <c r="G25" s="20" t="str">
        <f t="shared" si="4"/>
        <v>53766.9983</v>
      </c>
      <c r="H25" s="22">
        <f t="shared" si="5"/>
        <v>15072.5</v>
      </c>
      <c r="I25" s="37" t="s">
        <v>190</v>
      </c>
      <c r="J25" s="38" t="s">
        <v>191</v>
      </c>
      <c r="K25" s="37" t="s">
        <v>192</v>
      </c>
      <c r="L25" s="37" t="s">
        <v>193</v>
      </c>
      <c r="M25" s="38" t="s">
        <v>188</v>
      </c>
      <c r="N25" s="38" t="s">
        <v>70</v>
      </c>
      <c r="O25" s="39" t="s">
        <v>157</v>
      </c>
      <c r="P25" s="40" t="s">
        <v>189</v>
      </c>
    </row>
    <row r="26" spans="1:16" ht="12.75" customHeight="1" thickBot="1">
      <c r="A26" s="22" t="str">
        <f t="shared" si="0"/>
        <v>IBVS 5764 </v>
      </c>
      <c r="B26" s="6" t="str">
        <f t="shared" si="1"/>
        <v>I</v>
      </c>
      <c r="C26" s="22">
        <f t="shared" si="2"/>
        <v>53777.966</v>
      </c>
      <c r="D26" s="20" t="str">
        <f t="shared" si="3"/>
        <v>vis</v>
      </c>
      <c r="E26" s="36">
        <f>VLOOKUP(C26,Active!C$21:E$973,3,FALSE)</f>
        <v>15078.999792398929</v>
      </c>
      <c r="F26" s="6" t="s">
        <v>70</v>
      </c>
      <c r="G26" s="20" t="str">
        <f t="shared" si="4"/>
        <v>53777.966</v>
      </c>
      <c r="H26" s="22">
        <f t="shared" si="5"/>
        <v>15079</v>
      </c>
      <c r="I26" s="37" t="s">
        <v>194</v>
      </c>
      <c r="J26" s="38" t="s">
        <v>195</v>
      </c>
      <c r="K26" s="37" t="s">
        <v>196</v>
      </c>
      <c r="L26" s="37" t="s">
        <v>197</v>
      </c>
      <c r="M26" s="38" t="s">
        <v>188</v>
      </c>
      <c r="N26" s="38" t="s">
        <v>70</v>
      </c>
      <c r="O26" s="39" t="s">
        <v>157</v>
      </c>
      <c r="P26" s="40" t="s">
        <v>189</v>
      </c>
    </row>
    <row r="27" spans="1:16" ht="12.75" customHeight="1" thickBot="1">
      <c r="A27" s="22" t="str">
        <f t="shared" si="0"/>
        <v>IBVS 5764 </v>
      </c>
      <c r="B27" s="6" t="str">
        <f t="shared" si="1"/>
        <v>II</v>
      </c>
      <c r="C27" s="22">
        <f t="shared" si="2"/>
        <v>53788.935400000002</v>
      </c>
      <c r="D27" s="20" t="str">
        <f t="shared" si="3"/>
        <v>vis</v>
      </c>
      <c r="E27" s="36">
        <f>VLOOKUP(C27,Active!C$21:E$973,3,FALSE)</f>
        <v>15085.500449954039</v>
      </c>
      <c r="F27" s="6" t="s">
        <v>70</v>
      </c>
      <c r="G27" s="20" t="str">
        <f t="shared" si="4"/>
        <v>53788.9354</v>
      </c>
      <c r="H27" s="22">
        <f t="shared" si="5"/>
        <v>15085.5</v>
      </c>
      <c r="I27" s="37" t="s">
        <v>198</v>
      </c>
      <c r="J27" s="38" t="s">
        <v>199</v>
      </c>
      <c r="K27" s="37" t="s">
        <v>200</v>
      </c>
      <c r="L27" s="37" t="s">
        <v>201</v>
      </c>
      <c r="M27" s="38" t="s">
        <v>188</v>
      </c>
      <c r="N27" s="38" t="s">
        <v>70</v>
      </c>
      <c r="O27" s="39" t="s">
        <v>157</v>
      </c>
      <c r="P27" s="40" t="s">
        <v>189</v>
      </c>
    </row>
    <row r="28" spans="1:16" ht="12.75" customHeight="1" thickBot="1">
      <c r="A28" s="22" t="str">
        <f t="shared" si="0"/>
        <v>IBVS 5764 </v>
      </c>
      <c r="B28" s="6" t="str">
        <f t="shared" si="1"/>
        <v>II</v>
      </c>
      <c r="C28" s="22">
        <f t="shared" si="2"/>
        <v>53837.8704</v>
      </c>
      <c r="D28" s="20" t="str">
        <f t="shared" si="3"/>
        <v>vis</v>
      </c>
      <c r="E28" s="36">
        <f>VLOOKUP(C28,Active!C$21:E$973,3,FALSE)</f>
        <v>15114.500183527367</v>
      </c>
      <c r="F28" s="6" t="s">
        <v>70</v>
      </c>
      <c r="G28" s="20" t="str">
        <f t="shared" si="4"/>
        <v>53837.8704</v>
      </c>
      <c r="H28" s="22">
        <f t="shared" si="5"/>
        <v>15114.5</v>
      </c>
      <c r="I28" s="37" t="s">
        <v>202</v>
      </c>
      <c r="J28" s="38" t="s">
        <v>203</v>
      </c>
      <c r="K28" s="37" t="s">
        <v>204</v>
      </c>
      <c r="L28" s="37" t="s">
        <v>205</v>
      </c>
      <c r="M28" s="38" t="s">
        <v>188</v>
      </c>
      <c r="N28" s="38" t="s">
        <v>70</v>
      </c>
      <c r="O28" s="39" t="s">
        <v>157</v>
      </c>
      <c r="P28" s="40" t="s">
        <v>189</v>
      </c>
    </row>
    <row r="29" spans="1:16" ht="12.75" customHeight="1" thickBot="1">
      <c r="A29" s="22" t="str">
        <f t="shared" si="0"/>
        <v>IBVS 5764 </v>
      </c>
      <c r="B29" s="6" t="str">
        <f t="shared" si="1"/>
        <v>II</v>
      </c>
      <c r="C29" s="22">
        <f t="shared" si="2"/>
        <v>53842.933299999997</v>
      </c>
      <c r="D29" s="20" t="str">
        <f t="shared" si="3"/>
        <v>vis</v>
      </c>
      <c r="E29" s="36">
        <f>VLOOKUP(C29,Active!C$21:E$973,3,FALSE)</f>
        <v>15117.500546276082</v>
      </c>
      <c r="F29" s="6" t="s">
        <v>70</v>
      </c>
      <c r="G29" s="20" t="str">
        <f t="shared" si="4"/>
        <v>53842.9333</v>
      </c>
      <c r="H29" s="22">
        <f t="shared" si="5"/>
        <v>15117.5</v>
      </c>
      <c r="I29" s="37" t="s">
        <v>206</v>
      </c>
      <c r="J29" s="38" t="s">
        <v>207</v>
      </c>
      <c r="K29" s="37" t="s">
        <v>208</v>
      </c>
      <c r="L29" s="37" t="s">
        <v>209</v>
      </c>
      <c r="M29" s="38" t="s">
        <v>188</v>
      </c>
      <c r="N29" s="38" t="s">
        <v>70</v>
      </c>
      <c r="O29" s="39" t="s">
        <v>157</v>
      </c>
      <c r="P29" s="40" t="s">
        <v>189</v>
      </c>
    </row>
    <row r="30" spans="1:16" ht="12.75" customHeight="1" thickBot="1">
      <c r="A30" s="22" t="str">
        <f t="shared" si="0"/>
        <v>IBVS 5764 </v>
      </c>
      <c r="B30" s="6" t="str">
        <f t="shared" si="1"/>
        <v>I</v>
      </c>
      <c r="C30" s="22">
        <f t="shared" si="2"/>
        <v>53843.777300000002</v>
      </c>
      <c r="D30" s="20" t="str">
        <f t="shared" si="3"/>
        <v>vis</v>
      </c>
      <c r="E30" s="36">
        <f>VLOOKUP(C30,Active!C$21:E$973,3,FALSE)</f>
        <v>15118.000715380731</v>
      </c>
      <c r="F30" s="6" t="s">
        <v>70</v>
      </c>
      <c r="G30" s="20" t="str">
        <f t="shared" si="4"/>
        <v>53843.7773</v>
      </c>
      <c r="H30" s="22">
        <f t="shared" si="5"/>
        <v>15118</v>
      </c>
      <c r="I30" s="37" t="s">
        <v>210</v>
      </c>
      <c r="J30" s="38" t="s">
        <v>211</v>
      </c>
      <c r="K30" s="37" t="s">
        <v>212</v>
      </c>
      <c r="L30" s="37" t="s">
        <v>213</v>
      </c>
      <c r="M30" s="38" t="s">
        <v>188</v>
      </c>
      <c r="N30" s="38" t="s">
        <v>70</v>
      </c>
      <c r="O30" s="39" t="s">
        <v>157</v>
      </c>
      <c r="P30" s="40" t="s">
        <v>189</v>
      </c>
    </row>
    <row r="31" spans="1:16" ht="12.75" customHeight="1" thickBot="1">
      <c r="A31" s="22" t="str">
        <f t="shared" si="0"/>
        <v>IBVS 5764 </v>
      </c>
      <c r="B31" s="6" t="str">
        <f t="shared" si="1"/>
        <v>II</v>
      </c>
      <c r="C31" s="22">
        <f t="shared" si="2"/>
        <v>54171.981699999997</v>
      </c>
      <c r="D31" s="20" t="str">
        <f t="shared" si="3"/>
        <v>vis</v>
      </c>
      <c r="E31" s="36">
        <f>VLOOKUP(C31,Active!C$21:E$973,3,FALSE)</f>
        <v>15312.500360983966</v>
      </c>
      <c r="F31" s="6" t="s">
        <v>70</v>
      </c>
      <c r="G31" s="20" t="str">
        <f t="shared" si="4"/>
        <v>54171.9817</v>
      </c>
      <c r="H31" s="22">
        <f t="shared" si="5"/>
        <v>15312.5</v>
      </c>
      <c r="I31" s="37" t="s">
        <v>220</v>
      </c>
      <c r="J31" s="38" t="s">
        <v>221</v>
      </c>
      <c r="K31" s="37" t="s">
        <v>222</v>
      </c>
      <c r="L31" s="37" t="s">
        <v>223</v>
      </c>
      <c r="M31" s="38" t="s">
        <v>188</v>
      </c>
      <c r="N31" s="38" t="s">
        <v>70</v>
      </c>
      <c r="O31" s="39" t="s">
        <v>157</v>
      </c>
      <c r="P31" s="40" t="s">
        <v>189</v>
      </c>
    </row>
    <row r="32" spans="1:16" ht="12.75" customHeight="1" thickBot="1">
      <c r="A32" s="22" t="str">
        <f t="shared" si="0"/>
        <v>BAVM 186 </v>
      </c>
      <c r="B32" s="6" t="str">
        <f t="shared" si="1"/>
        <v>II</v>
      </c>
      <c r="C32" s="22">
        <f t="shared" si="2"/>
        <v>54207.415099999998</v>
      </c>
      <c r="D32" s="20" t="str">
        <f t="shared" si="3"/>
        <v>vis</v>
      </c>
      <c r="E32" s="36">
        <f>VLOOKUP(C32,Active!C$21:E$973,3,FALSE)</f>
        <v>15333.498811164762</v>
      </c>
      <c r="F32" s="6" t="s">
        <v>70</v>
      </c>
      <c r="G32" s="20" t="str">
        <f t="shared" si="4"/>
        <v>54207.4151</v>
      </c>
      <c r="H32" s="22">
        <f t="shared" si="5"/>
        <v>15333.5</v>
      </c>
      <c r="I32" s="37" t="s">
        <v>224</v>
      </c>
      <c r="J32" s="38" t="s">
        <v>225</v>
      </c>
      <c r="K32" s="37" t="s">
        <v>226</v>
      </c>
      <c r="L32" s="37" t="s">
        <v>227</v>
      </c>
      <c r="M32" s="38" t="s">
        <v>188</v>
      </c>
      <c r="N32" s="38" t="s">
        <v>177</v>
      </c>
      <c r="O32" s="39" t="s">
        <v>178</v>
      </c>
      <c r="P32" s="40" t="s">
        <v>228</v>
      </c>
    </row>
    <row r="33" spans="1:16" ht="12.75" customHeight="1" thickBot="1">
      <c r="A33" s="22" t="str">
        <f t="shared" si="0"/>
        <v>IBVS 5910 </v>
      </c>
      <c r="B33" s="6" t="str">
        <f t="shared" si="1"/>
        <v>II</v>
      </c>
      <c r="C33" s="22">
        <f t="shared" si="2"/>
        <v>54210.7929</v>
      </c>
      <c r="D33" s="20" t="str">
        <f t="shared" si="3"/>
        <v>vis</v>
      </c>
      <c r="E33" s="36">
        <f>VLOOKUP(C33,Active!C$21:E$973,3,FALSE)</f>
        <v>15335.500554294711</v>
      </c>
      <c r="F33" s="6" t="s">
        <v>70</v>
      </c>
      <c r="G33" s="20" t="str">
        <f t="shared" si="4"/>
        <v>54210.7929</v>
      </c>
      <c r="H33" s="22">
        <f t="shared" si="5"/>
        <v>15335.5</v>
      </c>
      <c r="I33" s="37" t="s">
        <v>229</v>
      </c>
      <c r="J33" s="38" t="s">
        <v>230</v>
      </c>
      <c r="K33" s="37" t="s">
        <v>231</v>
      </c>
      <c r="L33" s="37" t="s">
        <v>232</v>
      </c>
      <c r="M33" s="38" t="s">
        <v>188</v>
      </c>
      <c r="N33" s="38" t="s">
        <v>70</v>
      </c>
      <c r="O33" s="39" t="s">
        <v>143</v>
      </c>
      <c r="P33" s="40" t="s">
        <v>233</v>
      </c>
    </row>
    <row r="34" spans="1:16" ht="12.75" customHeight="1" thickBot="1">
      <c r="A34" s="22" t="str">
        <f t="shared" si="0"/>
        <v>IBVS 5910 </v>
      </c>
      <c r="B34" s="6" t="str">
        <f t="shared" si="1"/>
        <v>I</v>
      </c>
      <c r="C34" s="22">
        <f t="shared" si="2"/>
        <v>54221.761299999998</v>
      </c>
      <c r="D34" s="20" t="str">
        <f t="shared" si="3"/>
        <v>vis</v>
      </c>
      <c r="E34" s="36">
        <f>VLOOKUP(C34,Active!C$21:E$973,3,FALSE)</f>
        <v>15342.000619232396</v>
      </c>
      <c r="F34" s="6" t="s">
        <v>70</v>
      </c>
      <c r="G34" s="20" t="str">
        <f t="shared" si="4"/>
        <v>54221.7613</v>
      </c>
      <c r="H34" s="22">
        <f t="shared" si="5"/>
        <v>15342</v>
      </c>
      <c r="I34" s="37" t="s">
        <v>234</v>
      </c>
      <c r="J34" s="38" t="s">
        <v>235</v>
      </c>
      <c r="K34" s="37" t="s">
        <v>236</v>
      </c>
      <c r="L34" s="37" t="s">
        <v>237</v>
      </c>
      <c r="M34" s="38" t="s">
        <v>188</v>
      </c>
      <c r="N34" s="38" t="s">
        <v>70</v>
      </c>
      <c r="O34" s="39" t="s">
        <v>143</v>
      </c>
      <c r="P34" s="40" t="s">
        <v>233</v>
      </c>
    </row>
    <row r="35" spans="1:16" ht="12.75" customHeight="1" thickBot="1">
      <c r="A35" s="22" t="str">
        <f t="shared" si="0"/>
        <v>IBVS 5910 </v>
      </c>
      <c r="B35" s="6" t="str">
        <f t="shared" si="1"/>
        <v>II</v>
      </c>
      <c r="C35" s="22">
        <f t="shared" si="2"/>
        <v>54242.853600000002</v>
      </c>
      <c r="D35" s="20" t="str">
        <f t="shared" si="3"/>
        <v>vis</v>
      </c>
      <c r="E35" s="36">
        <f>VLOOKUP(C35,Active!C$21:E$973,3,FALSE)</f>
        <v>15354.500283694415</v>
      </c>
      <c r="F35" s="6" t="s">
        <v>70</v>
      </c>
      <c r="G35" s="20" t="str">
        <f t="shared" si="4"/>
        <v>54242.8536</v>
      </c>
      <c r="H35" s="22">
        <f t="shared" si="5"/>
        <v>15354.5</v>
      </c>
      <c r="I35" s="37" t="s">
        <v>238</v>
      </c>
      <c r="J35" s="38" t="s">
        <v>239</v>
      </c>
      <c r="K35" s="37" t="s">
        <v>240</v>
      </c>
      <c r="L35" s="37" t="s">
        <v>241</v>
      </c>
      <c r="M35" s="38" t="s">
        <v>188</v>
      </c>
      <c r="N35" s="38" t="s">
        <v>70</v>
      </c>
      <c r="O35" s="39" t="s">
        <v>143</v>
      </c>
      <c r="P35" s="40" t="s">
        <v>233</v>
      </c>
    </row>
    <row r="36" spans="1:16" ht="12.75" customHeight="1" thickBot="1">
      <c r="A36" s="22" t="str">
        <f t="shared" si="0"/>
        <v>IBVS 5910 </v>
      </c>
      <c r="B36" s="6" t="str">
        <f t="shared" si="1"/>
        <v>II</v>
      </c>
      <c r="C36" s="22">
        <f t="shared" si="2"/>
        <v>54259.728300000002</v>
      </c>
      <c r="D36" s="20" t="str">
        <f t="shared" si="3"/>
        <v>vis</v>
      </c>
      <c r="E36" s="36">
        <f>VLOOKUP(C36,Active!C$21:E$973,3,FALSE)</f>
        <v>15364.500524915011</v>
      </c>
      <c r="F36" s="6" t="s">
        <v>70</v>
      </c>
      <c r="G36" s="20" t="str">
        <f t="shared" si="4"/>
        <v>54259.7283</v>
      </c>
      <c r="H36" s="22">
        <f t="shared" si="5"/>
        <v>15364.5</v>
      </c>
      <c r="I36" s="37" t="s">
        <v>242</v>
      </c>
      <c r="J36" s="38" t="s">
        <v>243</v>
      </c>
      <c r="K36" s="37" t="s">
        <v>244</v>
      </c>
      <c r="L36" s="37" t="s">
        <v>245</v>
      </c>
      <c r="M36" s="38" t="s">
        <v>188</v>
      </c>
      <c r="N36" s="38" t="s">
        <v>70</v>
      </c>
      <c r="O36" s="39" t="s">
        <v>143</v>
      </c>
      <c r="P36" s="40" t="s">
        <v>233</v>
      </c>
    </row>
    <row r="37" spans="1:16" ht="12.75" customHeight="1" thickBot="1">
      <c r="A37" s="22" t="str">
        <f t="shared" si="0"/>
        <v>IBVS 5992 </v>
      </c>
      <c r="B37" s="6" t="str">
        <f t="shared" si="1"/>
        <v>II</v>
      </c>
      <c r="C37" s="22">
        <f t="shared" si="2"/>
        <v>55656.920700000002</v>
      </c>
      <c r="D37" s="20" t="str">
        <f t="shared" si="3"/>
        <v>vis</v>
      </c>
      <c r="E37" s="36">
        <f>VLOOKUP(C37,Active!C$21:E$973,3,FALSE)</f>
        <v>16192.501083833593</v>
      </c>
      <c r="F37" s="6" t="s">
        <v>70</v>
      </c>
      <c r="G37" s="20" t="str">
        <f t="shared" si="4"/>
        <v>55656.9207</v>
      </c>
      <c r="H37" s="22">
        <f t="shared" si="5"/>
        <v>16192.5</v>
      </c>
      <c r="I37" s="37" t="s">
        <v>264</v>
      </c>
      <c r="J37" s="38" t="s">
        <v>265</v>
      </c>
      <c r="K37" s="37" t="s">
        <v>266</v>
      </c>
      <c r="L37" s="37" t="s">
        <v>267</v>
      </c>
      <c r="M37" s="38" t="s">
        <v>188</v>
      </c>
      <c r="N37" s="38" t="s">
        <v>70</v>
      </c>
      <c r="O37" s="39" t="s">
        <v>268</v>
      </c>
      <c r="P37" s="40" t="s">
        <v>269</v>
      </c>
    </row>
    <row r="38" spans="1:16" ht="12.75" customHeight="1" thickBot="1">
      <c r="A38" s="22" t="str">
        <f t="shared" si="0"/>
        <v>IBVS 6014 </v>
      </c>
      <c r="B38" s="6" t="str">
        <f t="shared" si="1"/>
        <v>I</v>
      </c>
      <c r="C38" s="22">
        <f t="shared" si="2"/>
        <v>55760.698900000003</v>
      </c>
      <c r="D38" s="20" t="str">
        <f t="shared" si="3"/>
        <v>vis</v>
      </c>
      <c r="E38" s="36">
        <f>VLOOKUP(C38,Active!C$21:E$973,3,FALSE)</f>
        <v>16254.001853236265</v>
      </c>
      <c r="F38" s="6" t="s">
        <v>70</v>
      </c>
      <c r="G38" s="20" t="str">
        <f t="shared" si="4"/>
        <v>55760.6989</v>
      </c>
      <c r="H38" s="22">
        <f t="shared" si="5"/>
        <v>16254</v>
      </c>
      <c r="I38" s="37" t="s">
        <v>270</v>
      </c>
      <c r="J38" s="38" t="s">
        <v>271</v>
      </c>
      <c r="K38" s="37" t="s">
        <v>272</v>
      </c>
      <c r="L38" s="37" t="s">
        <v>273</v>
      </c>
      <c r="M38" s="38" t="s">
        <v>188</v>
      </c>
      <c r="N38" s="38" t="s">
        <v>70</v>
      </c>
      <c r="O38" s="39" t="s">
        <v>143</v>
      </c>
      <c r="P38" s="40" t="s">
        <v>274</v>
      </c>
    </row>
    <row r="39" spans="1:16" ht="12.75" customHeight="1" thickBot="1">
      <c r="A39" s="22" t="str">
        <f t="shared" si="0"/>
        <v>IBVS 6029 </v>
      </c>
      <c r="B39" s="6" t="str">
        <f t="shared" si="1"/>
        <v>I</v>
      </c>
      <c r="C39" s="22">
        <f t="shared" si="2"/>
        <v>56018.874499999998</v>
      </c>
      <c r="D39" s="20" t="str">
        <f t="shared" si="3"/>
        <v>vis</v>
      </c>
      <c r="E39" s="36">
        <f>VLOOKUP(C39,Active!C$21:E$973,3,FALSE)</f>
        <v>16407.001211878021</v>
      </c>
      <c r="F39" s="6" t="s">
        <v>70</v>
      </c>
      <c r="G39" s="20" t="str">
        <f t="shared" si="4"/>
        <v>56018.8745</v>
      </c>
      <c r="H39" s="22">
        <f t="shared" si="5"/>
        <v>16407</v>
      </c>
      <c r="I39" s="37" t="s">
        <v>275</v>
      </c>
      <c r="J39" s="38" t="s">
        <v>276</v>
      </c>
      <c r="K39" s="37" t="s">
        <v>277</v>
      </c>
      <c r="L39" s="37" t="s">
        <v>278</v>
      </c>
      <c r="M39" s="38" t="s">
        <v>188</v>
      </c>
      <c r="N39" s="38" t="s">
        <v>70</v>
      </c>
      <c r="O39" s="39" t="s">
        <v>268</v>
      </c>
      <c r="P39" s="40" t="s">
        <v>279</v>
      </c>
    </row>
    <row r="40" spans="1:16" ht="12.75" customHeight="1" thickBot="1">
      <c r="A40" s="22" t="str">
        <f t="shared" si="0"/>
        <v> CTAD 25.2 </v>
      </c>
      <c r="B40" s="6" t="str">
        <f t="shared" si="1"/>
        <v>II</v>
      </c>
      <c r="C40" s="22">
        <f t="shared" si="2"/>
        <v>28371.153999999999</v>
      </c>
      <c r="D40" s="20" t="str">
        <f t="shared" si="3"/>
        <v>vis</v>
      </c>
      <c r="E40" s="36">
        <f>VLOOKUP(C40,Active!C$21:E$973,3,FALSE)</f>
        <v>22.480349307665431</v>
      </c>
      <c r="F40" s="6" t="s">
        <v>70</v>
      </c>
      <c r="G40" s="20" t="str">
        <f t="shared" si="4"/>
        <v>28371.154</v>
      </c>
      <c r="H40" s="22">
        <f t="shared" si="5"/>
        <v>22.5</v>
      </c>
      <c r="I40" s="37" t="s">
        <v>79</v>
      </c>
      <c r="J40" s="38" t="s">
        <v>80</v>
      </c>
      <c r="K40" s="37">
        <v>22.5</v>
      </c>
      <c r="L40" s="37" t="s">
        <v>81</v>
      </c>
      <c r="M40" s="38" t="s">
        <v>76</v>
      </c>
      <c r="N40" s="38"/>
      <c r="O40" s="39" t="s">
        <v>77</v>
      </c>
      <c r="P40" s="39" t="s">
        <v>78</v>
      </c>
    </row>
    <row r="41" spans="1:16" ht="12.75" customHeight="1" thickBot="1">
      <c r="A41" s="22" t="str">
        <f t="shared" si="0"/>
        <v> AN 264.106 </v>
      </c>
      <c r="B41" s="6" t="str">
        <f t="shared" si="1"/>
        <v>I</v>
      </c>
      <c r="C41" s="22">
        <f t="shared" si="2"/>
        <v>28655.561000000002</v>
      </c>
      <c r="D41" s="20" t="str">
        <f t="shared" si="3"/>
        <v>vis</v>
      </c>
      <c r="E41" s="36">
        <f>VLOOKUP(C41,Active!C$21:E$973,3,FALSE)</f>
        <v>191.02489260775755</v>
      </c>
      <c r="F41" s="6" t="s">
        <v>70</v>
      </c>
      <c r="G41" s="20" t="str">
        <f t="shared" si="4"/>
        <v>28655.561</v>
      </c>
      <c r="H41" s="22">
        <f t="shared" si="5"/>
        <v>191</v>
      </c>
      <c r="I41" s="37" t="s">
        <v>82</v>
      </c>
      <c r="J41" s="38" t="s">
        <v>83</v>
      </c>
      <c r="K41" s="37">
        <v>191</v>
      </c>
      <c r="L41" s="37" t="s">
        <v>84</v>
      </c>
      <c r="M41" s="38" t="s">
        <v>76</v>
      </c>
      <c r="N41" s="38"/>
      <c r="O41" s="39" t="s">
        <v>85</v>
      </c>
      <c r="P41" s="39" t="s">
        <v>86</v>
      </c>
    </row>
    <row r="42" spans="1:16" ht="12.75" customHeight="1" thickBot="1">
      <c r="A42" s="22" t="str">
        <f t="shared" si="0"/>
        <v> AN 264.106 </v>
      </c>
      <c r="B42" s="6" t="str">
        <f t="shared" si="1"/>
        <v>II</v>
      </c>
      <c r="C42" s="22">
        <f t="shared" si="2"/>
        <v>28661.407999999999</v>
      </c>
      <c r="D42" s="20" t="str">
        <f t="shared" si="3"/>
        <v>vis</v>
      </c>
      <c r="E42" s="36">
        <f>VLOOKUP(C42,Active!C$21:E$973,3,FALSE)</f>
        <v>194.48992667750716</v>
      </c>
      <c r="F42" s="6" t="s">
        <v>70</v>
      </c>
      <c r="G42" s="20" t="str">
        <f t="shared" si="4"/>
        <v>28661.408</v>
      </c>
      <c r="H42" s="22">
        <f t="shared" si="5"/>
        <v>194.5</v>
      </c>
      <c r="I42" s="37" t="s">
        <v>87</v>
      </c>
      <c r="J42" s="38" t="s">
        <v>88</v>
      </c>
      <c r="K42" s="37">
        <v>194.5</v>
      </c>
      <c r="L42" s="37" t="s">
        <v>89</v>
      </c>
      <c r="M42" s="38" t="s">
        <v>76</v>
      </c>
      <c r="N42" s="38"/>
      <c r="O42" s="39" t="s">
        <v>85</v>
      </c>
      <c r="P42" s="39" t="s">
        <v>86</v>
      </c>
    </row>
    <row r="43" spans="1:16" ht="12.75" customHeight="1" thickBot="1">
      <c r="A43" s="22" t="str">
        <f t="shared" ref="A43:A61" si="6">P43</f>
        <v> PZ 7.326 </v>
      </c>
      <c r="B43" s="6" t="str">
        <f t="shared" ref="B43:B61" si="7">IF(H43=INT(H43),"I","II")</f>
        <v>I</v>
      </c>
      <c r="C43" s="22">
        <f t="shared" ref="C43:C61" si="8">1*G43</f>
        <v>28679.129000000001</v>
      </c>
      <c r="D43" s="20" t="str">
        <f t="shared" ref="D43:D61" si="9">VLOOKUP(F43,I$1:J$5,2,FALSE)</f>
        <v>vis</v>
      </c>
      <c r="E43" s="36">
        <f>VLOOKUP(C43,Active!C$21:E$973,3,FALSE)</f>
        <v>204.99170002282261</v>
      </c>
      <c r="F43" s="6" t="s">
        <v>70</v>
      </c>
      <c r="G43" s="20" t="str">
        <f t="shared" ref="G43:G61" si="10">MID(I43,3,LEN(I43)-3)</f>
        <v>28679.129</v>
      </c>
      <c r="H43" s="22">
        <f t="shared" ref="H43:H61" si="11">1*K43</f>
        <v>205</v>
      </c>
      <c r="I43" s="37" t="s">
        <v>90</v>
      </c>
      <c r="J43" s="38" t="s">
        <v>91</v>
      </c>
      <c r="K43" s="37">
        <v>205</v>
      </c>
      <c r="L43" s="37" t="s">
        <v>92</v>
      </c>
      <c r="M43" s="38" t="s">
        <v>72</v>
      </c>
      <c r="N43" s="38"/>
      <c r="O43" s="39" t="s">
        <v>77</v>
      </c>
      <c r="P43" s="39" t="s">
        <v>93</v>
      </c>
    </row>
    <row r="44" spans="1:16" ht="12.75" customHeight="1" thickBot="1">
      <c r="A44" s="22" t="str">
        <f t="shared" si="6"/>
        <v> AN 264.106 </v>
      </c>
      <c r="B44" s="6" t="str">
        <f t="shared" si="7"/>
        <v>II</v>
      </c>
      <c r="C44" s="22">
        <f t="shared" si="8"/>
        <v>28683.343000000001</v>
      </c>
      <c r="D44" s="20" t="str">
        <f t="shared" si="9"/>
        <v>vis</v>
      </c>
      <c r="E44" s="36">
        <f>VLOOKUP(C44,Active!C$21:E$973,3,FALSE)</f>
        <v>207.48898984152109</v>
      </c>
      <c r="F44" s="6" t="s">
        <v>70</v>
      </c>
      <c r="G44" s="20" t="str">
        <f t="shared" si="10"/>
        <v>28683.343</v>
      </c>
      <c r="H44" s="22">
        <f t="shared" si="11"/>
        <v>207.5</v>
      </c>
      <c r="I44" s="37" t="s">
        <v>94</v>
      </c>
      <c r="J44" s="38" t="s">
        <v>95</v>
      </c>
      <c r="K44" s="37">
        <v>207.5</v>
      </c>
      <c r="L44" s="37" t="s">
        <v>96</v>
      </c>
      <c r="M44" s="38" t="s">
        <v>76</v>
      </c>
      <c r="N44" s="38"/>
      <c r="O44" s="39" t="s">
        <v>85</v>
      </c>
      <c r="P44" s="39" t="s">
        <v>86</v>
      </c>
    </row>
    <row r="45" spans="1:16" ht="12.75" customHeight="1" thickBot="1">
      <c r="A45" s="22" t="str">
        <f t="shared" si="6"/>
        <v> AN 264.106 </v>
      </c>
      <c r="B45" s="6" t="str">
        <f t="shared" si="7"/>
        <v>II</v>
      </c>
      <c r="C45" s="22">
        <f t="shared" si="8"/>
        <v>28688.421999999999</v>
      </c>
      <c r="D45" s="20" t="str">
        <f t="shared" si="9"/>
        <v>vis</v>
      </c>
      <c r="E45" s="36">
        <f>VLOOKUP(C45,Active!C$21:E$973,3,FALSE)</f>
        <v>210.49889373073901</v>
      </c>
      <c r="F45" s="6" t="s">
        <v>70</v>
      </c>
      <c r="G45" s="20" t="str">
        <f t="shared" si="10"/>
        <v>28688.422</v>
      </c>
      <c r="H45" s="22">
        <f t="shared" si="11"/>
        <v>210.5</v>
      </c>
      <c r="I45" s="37" t="s">
        <v>97</v>
      </c>
      <c r="J45" s="38" t="s">
        <v>98</v>
      </c>
      <c r="K45" s="37">
        <v>210.5</v>
      </c>
      <c r="L45" s="37" t="s">
        <v>99</v>
      </c>
      <c r="M45" s="38" t="s">
        <v>76</v>
      </c>
      <c r="N45" s="38"/>
      <c r="O45" s="39" t="s">
        <v>85</v>
      </c>
      <c r="P45" s="39" t="s">
        <v>86</v>
      </c>
    </row>
    <row r="46" spans="1:16" ht="12.75" customHeight="1" thickBot="1">
      <c r="A46" s="22" t="str">
        <f t="shared" si="6"/>
        <v> AN 264.106 </v>
      </c>
      <c r="B46" s="6" t="str">
        <f t="shared" si="7"/>
        <v>II</v>
      </c>
      <c r="C46" s="22">
        <f t="shared" si="8"/>
        <v>28693.501</v>
      </c>
      <c r="D46" s="20" t="str">
        <f t="shared" si="9"/>
        <v>vis</v>
      </c>
      <c r="E46" s="36">
        <f>VLOOKUP(C46,Active!C$21:E$973,3,FALSE)</f>
        <v>213.5087976199591</v>
      </c>
      <c r="F46" s="6" t="s">
        <v>70</v>
      </c>
      <c r="G46" s="20" t="str">
        <f t="shared" si="10"/>
        <v>28693.501</v>
      </c>
      <c r="H46" s="22">
        <f t="shared" si="11"/>
        <v>213.5</v>
      </c>
      <c r="I46" s="37" t="s">
        <v>100</v>
      </c>
      <c r="J46" s="38" t="s">
        <v>101</v>
      </c>
      <c r="K46" s="37">
        <v>213.5</v>
      </c>
      <c r="L46" s="37" t="s">
        <v>102</v>
      </c>
      <c r="M46" s="38" t="s">
        <v>76</v>
      </c>
      <c r="N46" s="38"/>
      <c r="O46" s="39" t="s">
        <v>85</v>
      </c>
      <c r="P46" s="39" t="s">
        <v>86</v>
      </c>
    </row>
    <row r="47" spans="1:16" ht="12.75" customHeight="1" thickBot="1">
      <c r="A47" s="22" t="str">
        <f t="shared" si="6"/>
        <v> AN 264.106 </v>
      </c>
      <c r="B47" s="6" t="str">
        <f t="shared" si="7"/>
        <v>II</v>
      </c>
      <c r="C47" s="22">
        <f t="shared" si="8"/>
        <v>28698.542000000001</v>
      </c>
      <c r="D47" s="20" t="str">
        <f t="shared" si="9"/>
        <v>vis</v>
      </c>
      <c r="E47" s="36">
        <f>VLOOKUP(C47,Active!C$21:E$973,3,FALSE)</f>
        <v>216.49618204712138</v>
      </c>
      <c r="F47" s="6" t="s">
        <v>70</v>
      </c>
      <c r="G47" s="20" t="str">
        <f t="shared" si="10"/>
        <v>28698.542</v>
      </c>
      <c r="H47" s="22">
        <f t="shared" si="11"/>
        <v>216.5</v>
      </c>
      <c r="I47" s="37" t="s">
        <v>103</v>
      </c>
      <c r="J47" s="38" t="s">
        <v>104</v>
      </c>
      <c r="K47" s="37">
        <v>216.5</v>
      </c>
      <c r="L47" s="37" t="s">
        <v>105</v>
      </c>
      <c r="M47" s="38" t="s">
        <v>76</v>
      </c>
      <c r="N47" s="38"/>
      <c r="O47" s="39" t="s">
        <v>85</v>
      </c>
      <c r="P47" s="39" t="s">
        <v>86</v>
      </c>
    </row>
    <row r="48" spans="1:16" ht="12.75" customHeight="1" thickBot="1">
      <c r="A48" s="22" t="str">
        <f t="shared" si="6"/>
        <v> AN 264.106 </v>
      </c>
      <c r="B48" s="6" t="str">
        <f t="shared" si="7"/>
        <v>II</v>
      </c>
      <c r="C48" s="22">
        <f t="shared" si="8"/>
        <v>28742.38</v>
      </c>
      <c r="D48" s="20" t="str">
        <f t="shared" si="9"/>
        <v>vis</v>
      </c>
      <c r="E48" s="36">
        <f>VLOOKUP(C48,Active!C$21:E$973,3,FALSE)</f>
        <v>242.47534461762532</v>
      </c>
      <c r="F48" s="6" t="s">
        <v>70</v>
      </c>
      <c r="G48" s="20" t="str">
        <f t="shared" si="10"/>
        <v>28742.380</v>
      </c>
      <c r="H48" s="22">
        <f t="shared" si="11"/>
        <v>242.5</v>
      </c>
      <c r="I48" s="37" t="s">
        <v>106</v>
      </c>
      <c r="J48" s="38" t="s">
        <v>107</v>
      </c>
      <c r="K48" s="37">
        <v>242.5</v>
      </c>
      <c r="L48" s="37" t="s">
        <v>81</v>
      </c>
      <c r="M48" s="38" t="s">
        <v>76</v>
      </c>
      <c r="N48" s="38"/>
      <c r="O48" s="39" t="s">
        <v>85</v>
      </c>
      <c r="P48" s="39" t="s">
        <v>86</v>
      </c>
    </row>
    <row r="49" spans="1:16" ht="12.75" customHeight="1" thickBot="1">
      <c r="A49" s="22" t="str">
        <f t="shared" si="6"/>
        <v> AN 264.106 </v>
      </c>
      <c r="B49" s="6" t="str">
        <f t="shared" si="7"/>
        <v>I</v>
      </c>
      <c r="C49" s="22">
        <f t="shared" si="8"/>
        <v>28753.376</v>
      </c>
      <c r="D49" s="20" t="str">
        <f t="shared" si="9"/>
        <v>vis</v>
      </c>
      <c r="E49" s="36">
        <f>VLOOKUP(C49,Active!C$21:E$973,3,FALSE)</f>
        <v>248.99176579617458</v>
      </c>
      <c r="F49" s="6" t="s">
        <v>70</v>
      </c>
      <c r="G49" s="20" t="str">
        <f t="shared" si="10"/>
        <v>28753.376</v>
      </c>
      <c r="H49" s="22">
        <f t="shared" si="11"/>
        <v>249</v>
      </c>
      <c r="I49" s="37" t="s">
        <v>108</v>
      </c>
      <c r="J49" s="38" t="s">
        <v>109</v>
      </c>
      <c r="K49" s="37">
        <v>249</v>
      </c>
      <c r="L49" s="37" t="s">
        <v>110</v>
      </c>
      <c r="M49" s="38" t="s">
        <v>76</v>
      </c>
      <c r="N49" s="38"/>
      <c r="O49" s="39" t="s">
        <v>85</v>
      </c>
      <c r="P49" s="39" t="s">
        <v>86</v>
      </c>
    </row>
    <row r="50" spans="1:16" ht="12.75" customHeight="1" thickBot="1">
      <c r="A50" s="22" t="str">
        <f t="shared" si="6"/>
        <v> AN 264.106 </v>
      </c>
      <c r="B50" s="6" t="str">
        <f t="shared" si="7"/>
        <v>I</v>
      </c>
      <c r="C50" s="22">
        <f t="shared" si="8"/>
        <v>28780.32</v>
      </c>
      <c r="D50" s="20" t="str">
        <f t="shared" si="9"/>
        <v>vis</v>
      </c>
      <c r="E50" s="36">
        <f>VLOOKUP(C50,Active!C$21:E$973,3,FALSE)</f>
        <v>264.9592496298269</v>
      </c>
      <c r="F50" s="6" t="s">
        <v>70</v>
      </c>
      <c r="G50" s="20" t="str">
        <f t="shared" si="10"/>
        <v>28780.320</v>
      </c>
      <c r="H50" s="22">
        <f t="shared" si="11"/>
        <v>265</v>
      </c>
      <c r="I50" s="37" t="s">
        <v>111</v>
      </c>
      <c r="J50" s="38" t="s">
        <v>112</v>
      </c>
      <c r="K50" s="37">
        <v>265</v>
      </c>
      <c r="L50" s="37" t="s">
        <v>113</v>
      </c>
      <c r="M50" s="38" t="s">
        <v>76</v>
      </c>
      <c r="N50" s="38"/>
      <c r="O50" s="39" t="s">
        <v>85</v>
      </c>
      <c r="P50" s="39" t="s">
        <v>86</v>
      </c>
    </row>
    <row r="51" spans="1:16" ht="12.75" customHeight="1" thickBot="1">
      <c r="A51" s="22" t="str">
        <f t="shared" si="6"/>
        <v> PZ 7.326 </v>
      </c>
      <c r="B51" s="6" t="str">
        <f t="shared" si="7"/>
        <v>I</v>
      </c>
      <c r="C51" s="22">
        <f t="shared" si="8"/>
        <v>29200.539000000001</v>
      </c>
      <c r="D51" s="20" t="str">
        <f t="shared" si="9"/>
        <v>vis</v>
      </c>
      <c r="E51" s="36">
        <f>VLOOKUP(C51,Active!C$21:E$973,3,FALSE)</f>
        <v>513.98835032362433</v>
      </c>
      <c r="F51" s="6" t="s">
        <v>70</v>
      </c>
      <c r="G51" s="20" t="str">
        <f t="shared" si="10"/>
        <v>29200.539</v>
      </c>
      <c r="H51" s="22">
        <f t="shared" si="11"/>
        <v>514</v>
      </c>
      <c r="I51" s="37" t="s">
        <v>114</v>
      </c>
      <c r="J51" s="38" t="s">
        <v>115</v>
      </c>
      <c r="K51" s="37">
        <v>514</v>
      </c>
      <c r="L51" s="37" t="s">
        <v>75</v>
      </c>
      <c r="M51" s="38" t="s">
        <v>72</v>
      </c>
      <c r="N51" s="38"/>
      <c r="O51" s="39" t="s">
        <v>77</v>
      </c>
      <c r="P51" s="39" t="s">
        <v>93</v>
      </c>
    </row>
    <row r="52" spans="1:16" ht="12.75" customHeight="1" thickBot="1">
      <c r="A52" s="22" t="str">
        <f t="shared" si="6"/>
        <v> IODE 4.3.15 </v>
      </c>
      <c r="B52" s="6" t="str">
        <f t="shared" si="7"/>
        <v>I</v>
      </c>
      <c r="C52" s="22">
        <f t="shared" si="8"/>
        <v>31254.11</v>
      </c>
      <c r="D52" s="20" t="str">
        <f t="shared" si="9"/>
        <v>vis</v>
      </c>
      <c r="E52" s="36">
        <f>VLOOKUP(C52,Active!C$21:E$973,3,FALSE)</f>
        <v>1730.9703034025217</v>
      </c>
      <c r="F52" s="6" t="s">
        <v>70</v>
      </c>
      <c r="G52" s="20" t="str">
        <f t="shared" si="10"/>
        <v>31254.110</v>
      </c>
      <c r="H52" s="22">
        <f t="shared" si="11"/>
        <v>1731</v>
      </c>
      <c r="I52" s="37" t="s">
        <v>116</v>
      </c>
      <c r="J52" s="38" t="s">
        <v>117</v>
      </c>
      <c r="K52" s="37">
        <v>1731</v>
      </c>
      <c r="L52" s="37" t="s">
        <v>118</v>
      </c>
      <c r="M52" s="38" t="s">
        <v>76</v>
      </c>
      <c r="N52" s="38"/>
      <c r="O52" s="39" t="s">
        <v>119</v>
      </c>
      <c r="P52" s="39" t="s">
        <v>120</v>
      </c>
    </row>
    <row r="53" spans="1:16" ht="12.75" customHeight="1" thickBot="1">
      <c r="A53" s="22" t="str">
        <f t="shared" si="6"/>
        <v> BRNO 32 </v>
      </c>
      <c r="B53" s="6" t="str">
        <f t="shared" si="7"/>
        <v>II</v>
      </c>
      <c r="C53" s="22">
        <f t="shared" si="8"/>
        <v>51664.471299999997</v>
      </c>
      <c r="D53" s="20" t="str">
        <f t="shared" si="9"/>
        <v>vis</v>
      </c>
      <c r="E53" s="36">
        <f>VLOOKUP(C53,Active!C$21:E$973,3,FALSE)</f>
        <v>13826.506010675335</v>
      </c>
      <c r="F53" s="6" t="s">
        <v>70</v>
      </c>
      <c r="G53" s="20" t="str">
        <f t="shared" si="10"/>
        <v>51664.4713</v>
      </c>
      <c r="H53" s="22">
        <f t="shared" si="11"/>
        <v>13826.5</v>
      </c>
      <c r="I53" s="37" t="s">
        <v>135</v>
      </c>
      <c r="J53" s="38" t="s">
        <v>136</v>
      </c>
      <c r="K53" s="37">
        <v>13826.5</v>
      </c>
      <c r="L53" s="37" t="s">
        <v>137</v>
      </c>
      <c r="M53" s="38" t="s">
        <v>76</v>
      </c>
      <c r="N53" s="38"/>
      <c r="O53" s="39" t="s">
        <v>138</v>
      </c>
      <c r="P53" s="39" t="s">
        <v>139</v>
      </c>
    </row>
    <row r="54" spans="1:16" ht="12.75" customHeight="1" thickBot="1">
      <c r="A54" s="22" t="str">
        <f t="shared" si="6"/>
        <v>IBVS 5670 </v>
      </c>
      <c r="B54" s="6" t="str">
        <f t="shared" si="7"/>
        <v>I</v>
      </c>
      <c r="C54" s="22">
        <f t="shared" si="8"/>
        <v>53399.982199999999</v>
      </c>
      <c r="D54" s="20" t="str">
        <f t="shared" si="9"/>
        <v>vis</v>
      </c>
      <c r="E54" s="36">
        <f>VLOOKUP(C54,Active!C$21:E$973,3,FALSE)</f>
        <v>14855.000007070743</v>
      </c>
      <c r="F54" s="6" t="s">
        <v>70</v>
      </c>
      <c r="G54" s="20" t="str">
        <f t="shared" si="10"/>
        <v>53399.9822</v>
      </c>
      <c r="H54" s="22">
        <f t="shared" si="11"/>
        <v>14855</v>
      </c>
      <c r="I54" s="37" t="s">
        <v>159</v>
      </c>
      <c r="J54" s="38" t="s">
        <v>160</v>
      </c>
      <c r="K54" s="37">
        <v>14855</v>
      </c>
      <c r="L54" s="37" t="s">
        <v>161</v>
      </c>
      <c r="M54" s="38" t="s">
        <v>124</v>
      </c>
      <c r="N54" s="38" t="s">
        <v>125</v>
      </c>
      <c r="O54" s="39" t="s">
        <v>157</v>
      </c>
      <c r="P54" s="40" t="s">
        <v>158</v>
      </c>
    </row>
    <row r="55" spans="1:16" ht="12.75" customHeight="1" thickBot="1">
      <c r="A55" s="22" t="str">
        <f t="shared" si="6"/>
        <v>IBVS 5670 </v>
      </c>
      <c r="B55" s="6" t="str">
        <f t="shared" si="7"/>
        <v>I</v>
      </c>
      <c r="C55" s="22">
        <f t="shared" si="8"/>
        <v>53470.854899999998</v>
      </c>
      <c r="D55" s="20" t="str">
        <f t="shared" si="9"/>
        <v>vis</v>
      </c>
      <c r="E55" s="36">
        <f>VLOOKUP(C55,Active!C$21:E$973,3,FALSE)</f>
        <v>14897.000403875127</v>
      </c>
      <c r="F55" s="6" t="s">
        <v>70</v>
      </c>
      <c r="G55" s="20" t="str">
        <f t="shared" si="10"/>
        <v>53470.8549</v>
      </c>
      <c r="H55" s="22">
        <f t="shared" si="11"/>
        <v>14897</v>
      </c>
      <c r="I55" s="37" t="s">
        <v>162</v>
      </c>
      <c r="J55" s="38" t="s">
        <v>163</v>
      </c>
      <c r="K55" s="37">
        <v>14897</v>
      </c>
      <c r="L55" s="37" t="s">
        <v>164</v>
      </c>
      <c r="M55" s="38" t="s">
        <v>124</v>
      </c>
      <c r="N55" s="38" t="s">
        <v>125</v>
      </c>
      <c r="O55" s="39" t="s">
        <v>157</v>
      </c>
      <c r="P55" s="40" t="s">
        <v>158</v>
      </c>
    </row>
    <row r="56" spans="1:16" ht="12.75" customHeight="1" thickBot="1">
      <c r="A56" s="22" t="str">
        <f t="shared" si="6"/>
        <v>IBVS 5670 </v>
      </c>
      <c r="B56" s="6" t="str">
        <f t="shared" si="7"/>
        <v>II</v>
      </c>
      <c r="C56" s="22">
        <f t="shared" si="8"/>
        <v>53481.822800000002</v>
      </c>
      <c r="D56" s="20" t="str">
        <f t="shared" si="9"/>
        <v>vis</v>
      </c>
      <c r="E56" s="36">
        <f>VLOOKUP(C56,Active!C$21:E$973,3,FALSE)</f>
        <v>14903.500172504106</v>
      </c>
      <c r="F56" s="6" t="s">
        <v>70</v>
      </c>
      <c r="G56" s="20" t="str">
        <f t="shared" si="10"/>
        <v>53481.8228</v>
      </c>
      <c r="H56" s="22">
        <f t="shared" si="11"/>
        <v>14903.5</v>
      </c>
      <c r="I56" s="37" t="s">
        <v>168</v>
      </c>
      <c r="J56" s="38" t="s">
        <v>169</v>
      </c>
      <c r="K56" s="37">
        <v>14903.5</v>
      </c>
      <c r="L56" s="37" t="s">
        <v>170</v>
      </c>
      <c r="M56" s="38" t="s">
        <v>124</v>
      </c>
      <c r="N56" s="38" t="s">
        <v>125</v>
      </c>
      <c r="O56" s="39" t="s">
        <v>157</v>
      </c>
      <c r="P56" s="40" t="s">
        <v>158</v>
      </c>
    </row>
    <row r="57" spans="1:16" ht="12.75" customHeight="1" thickBot="1">
      <c r="A57" s="22" t="str">
        <f t="shared" si="6"/>
        <v>VSB 45 </v>
      </c>
      <c r="B57" s="6" t="str">
        <f t="shared" si="7"/>
        <v>II</v>
      </c>
      <c r="C57" s="22">
        <f t="shared" si="8"/>
        <v>53907.055200000003</v>
      </c>
      <c r="D57" s="20" t="str">
        <f t="shared" si="9"/>
        <v>vis</v>
      </c>
      <c r="E57" s="36">
        <f>VLOOKUP(C57,Active!C$21:E$973,3,FALSE)</f>
        <v>15155.500301384202</v>
      </c>
      <c r="F57" s="6" t="s">
        <v>70</v>
      </c>
      <c r="G57" s="20" t="str">
        <f t="shared" si="10"/>
        <v>53907.0552</v>
      </c>
      <c r="H57" s="22">
        <f t="shared" si="11"/>
        <v>15155.5</v>
      </c>
      <c r="I57" s="37" t="s">
        <v>214</v>
      </c>
      <c r="J57" s="38" t="s">
        <v>215</v>
      </c>
      <c r="K57" s="37" t="s">
        <v>216</v>
      </c>
      <c r="L57" s="37" t="s">
        <v>217</v>
      </c>
      <c r="M57" s="38" t="s">
        <v>124</v>
      </c>
      <c r="N57" s="38" t="s">
        <v>125</v>
      </c>
      <c r="O57" s="39" t="s">
        <v>218</v>
      </c>
      <c r="P57" s="40" t="s">
        <v>219</v>
      </c>
    </row>
    <row r="58" spans="1:16" ht="12.75" customHeight="1" thickBot="1">
      <c r="A58" s="22" t="str">
        <f t="shared" si="6"/>
        <v>VSB 48 </v>
      </c>
      <c r="B58" s="6" t="str">
        <f t="shared" si="7"/>
        <v>I</v>
      </c>
      <c r="C58" s="22">
        <f t="shared" si="8"/>
        <v>54559.249900000003</v>
      </c>
      <c r="D58" s="20" t="str">
        <f t="shared" si="9"/>
        <v>vis</v>
      </c>
      <c r="E58" s="36">
        <f>VLOOKUP(C58,Active!C$21:E$973,3,FALSE)</f>
        <v>15542.002243510236</v>
      </c>
      <c r="F58" s="6" t="s">
        <v>70</v>
      </c>
      <c r="G58" s="20" t="str">
        <f t="shared" si="10"/>
        <v>54559.2499</v>
      </c>
      <c r="H58" s="22">
        <f t="shared" si="11"/>
        <v>15542</v>
      </c>
      <c r="I58" s="37" t="s">
        <v>246</v>
      </c>
      <c r="J58" s="38" t="s">
        <v>247</v>
      </c>
      <c r="K58" s="37" t="s">
        <v>248</v>
      </c>
      <c r="L58" s="37" t="s">
        <v>249</v>
      </c>
      <c r="M58" s="38" t="s">
        <v>188</v>
      </c>
      <c r="N58" s="38" t="s">
        <v>250</v>
      </c>
      <c r="O58" s="39" t="s">
        <v>251</v>
      </c>
      <c r="P58" s="40" t="s">
        <v>252</v>
      </c>
    </row>
    <row r="59" spans="1:16" ht="12.75" customHeight="1" thickBot="1">
      <c r="A59" s="22" t="str">
        <f t="shared" si="6"/>
        <v>VSB 48 </v>
      </c>
      <c r="B59" s="6" t="str">
        <f t="shared" si="7"/>
        <v>II</v>
      </c>
      <c r="C59" s="22">
        <f t="shared" si="8"/>
        <v>54614.088100000001</v>
      </c>
      <c r="D59" s="20" t="str">
        <f t="shared" si="9"/>
        <v>vis</v>
      </c>
      <c r="E59" s="36">
        <f>VLOOKUP(C59,Active!C$21:E$973,3,FALSE)</f>
        <v>15574.500316252464</v>
      </c>
      <c r="F59" s="6" t="s">
        <v>70</v>
      </c>
      <c r="G59" s="20" t="str">
        <f t="shared" si="10"/>
        <v>54614.0881</v>
      </c>
      <c r="H59" s="22">
        <f t="shared" si="11"/>
        <v>15574.5</v>
      </c>
      <c r="I59" s="37" t="s">
        <v>253</v>
      </c>
      <c r="J59" s="38" t="s">
        <v>254</v>
      </c>
      <c r="K59" s="37" t="s">
        <v>255</v>
      </c>
      <c r="L59" s="37" t="s">
        <v>256</v>
      </c>
      <c r="M59" s="38" t="s">
        <v>188</v>
      </c>
      <c r="N59" s="38" t="s">
        <v>257</v>
      </c>
      <c r="O59" s="39" t="s">
        <v>258</v>
      </c>
      <c r="P59" s="40" t="s">
        <v>252</v>
      </c>
    </row>
    <row r="60" spans="1:16" ht="12.75" customHeight="1" thickBot="1">
      <c r="A60" s="22" t="str">
        <f t="shared" si="6"/>
        <v>VSB 51 </v>
      </c>
      <c r="B60" s="6" t="str">
        <f t="shared" si="7"/>
        <v>II</v>
      </c>
      <c r="C60" s="22">
        <f t="shared" si="8"/>
        <v>55277.251499999998</v>
      </c>
      <c r="D60" s="20" t="str">
        <f t="shared" si="9"/>
        <v>vis</v>
      </c>
      <c r="E60" s="36">
        <f>VLOOKUP(C60,Active!C$21:E$973,3,FALSE)</f>
        <v>15967.502501101413</v>
      </c>
      <c r="F60" s="6" t="s">
        <v>70</v>
      </c>
      <c r="G60" s="20" t="str">
        <f t="shared" si="10"/>
        <v>55277.2515</v>
      </c>
      <c r="H60" s="22">
        <f t="shared" si="11"/>
        <v>15967.5</v>
      </c>
      <c r="I60" s="37" t="s">
        <v>259</v>
      </c>
      <c r="J60" s="38" t="s">
        <v>260</v>
      </c>
      <c r="K60" s="37" t="s">
        <v>261</v>
      </c>
      <c r="L60" s="37" t="s">
        <v>262</v>
      </c>
      <c r="M60" s="38" t="s">
        <v>188</v>
      </c>
      <c r="N60" s="38" t="s">
        <v>257</v>
      </c>
      <c r="O60" s="39" t="s">
        <v>258</v>
      </c>
      <c r="P60" s="40" t="s">
        <v>263</v>
      </c>
    </row>
    <row r="61" spans="1:16" ht="12.75" customHeight="1" thickBot="1">
      <c r="A61" s="22" t="str">
        <f t="shared" si="6"/>
        <v>BAVM 241 (=IBVS 6157) </v>
      </c>
      <c r="B61" s="6" t="str">
        <f t="shared" si="7"/>
        <v>I</v>
      </c>
      <c r="C61" s="22">
        <f t="shared" si="8"/>
        <v>57176.450299999997</v>
      </c>
      <c r="D61" s="20" t="str">
        <f t="shared" si="9"/>
        <v>vis</v>
      </c>
      <c r="E61" s="36">
        <f>VLOOKUP(C61,Active!C$21:E$973,3,FALSE)</f>
        <v>17093.00079890027</v>
      </c>
      <c r="F61" s="6" t="s">
        <v>70</v>
      </c>
      <c r="G61" s="20" t="str">
        <f t="shared" si="10"/>
        <v>57176.4503</v>
      </c>
      <c r="H61" s="22">
        <f t="shared" si="11"/>
        <v>17093</v>
      </c>
      <c r="I61" s="37" t="s">
        <v>280</v>
      </c>
      <c r="J61" s="38" t="s">
        <v>281</v>
      </c>
      <c r="K61" s="37" t="s">
        <v>282</v>
      </c>
      <c r="L61" s="37" t="s">
        <v>283</v>
      </c>
      <c r="M61" s="38" t="s">
        <v>188</v>
      </c>
      <c r="N61" s="38" t="s">
        <v>177</v>
      </c>
      <c r="O61" s="39" t="s">
        <v>284</v>
      </c>
      <c r="P61" s="40" t="s">
        <v>285</v>
      </c>
    </row>
    <row r="62" spans="1:16">
      <c r="B62" s="6"/>
      <c r="F62" s="6"/>
    </row>
    <row r="63" spans="1:16">
      <c r="B63" s="6"/>
      <c r="F63" s="6"/>
    </row>
    <row r="64" spans="1:1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</sheetData>
  <phoneticPr fontId="8" type="noConversion"/>
  <hyperlinks>
    <hyperlink ref="P15" r:id="rId1" display="http://www.konkoly.hu/cgi-bin/IBVS?5577" xr:uid="{00000000-0004-0000-0200-000000000000}"/>
    <hyperlink ref="P16" r:id="rId2" display="http://www.konkoly.hu/cgi-bin/IBVS?5577" xr:uid="{00000000-0004-0000-0200-000001000000}"/>
    <hyperlink ref="P17" r:id="rId3" display="http://www.konkoly.hu/cgi-bin/IBVS?5577" xr:uid="{00000000-0004-0000-0200-000002000000}"/>
    <hyperlink ref="P18" r:id="rId4" display="http://www.konkoly.hu/cgi-bin/IBVS?5577" xr:uid="{00000000-0004-0000-0200-000003000000}"/>
    <hyperlink ref="P19" r:id="rId5" display="http://www.konkoly.hu/cgi-bin/IBVS?5670" xr:uid="{00000000-0004-0000-0200-000004000000}"/>
    <hyperlink ref="P54" r:id="rId6" display="http://www.konkoly.hu/cgi-bin/IBVS?5670" xr:uid="{00000000-0004-0000-0200-000005000000}"/>
    <hyperlink ref="P55" r:id="rId7" display="http://www.konkoly.hu/cgi-bin/IBVS?5670" xr:uid="{00000000-0004-0000-0200-000006000000}"/>
    <hyperlink ref="P20" r:id="rId8" display="http://www.konkoly.hu/cgi-bin/IBVS?5670" xr:uid="{00000000-0004-0000-0200-000007000000}"/>
    <hyperlink ref="P56" r:id="rId9" display="http://www.konkoly.hu/cgi-bin/IBVS?5670" xr:uid="{00000000-0004-0000-0200-000008000000}"/>
    <hyperlink ref="P21" r:id="rId10" display="http://www.konkoly.hu/cgi-bin/IBVS?5670" xr:uid="{00000000-0004-0000-0200-000009000000}"/>
    <hyperlink ref="P22" r:id="rId11" display="http://www.bav-astro.de/sfs/BAVM_link.php?BAVMnr=173" xr:uid="{00000000-0004-0000-0200-00000A000000}"/>
    <hyperlink ref="P23" r:id="rId12" display="http://www.bav-astro.de/sfs/BAVM_link.php?BAVMnr=173" xr:uid="{00000000-0004-0000-0200-00000B000000}"/>
    <hyperlink ref="P24" r:id="rId13" display="http://www.konkoly.hu/cgi-bin/IBVS?5764" xr:uid="{00000000-0004-0000-0200-00000C000000}"/>
    <hyperlink ref="P25" r:id="rId14" display="http://www.konkoly.hu/cgi-bin/IBVS?5764" xr:uid="{00000000-0004-0000-0200-00000D000000}"/>
    <hyperlink ref="P26" r:id="rId15" display="http://www.konkoly.hu/cgi-bin/IBVS?5764" xr:uid="{00000000-0004-0000-0200-00000E000000}"/>
    <hyperlink ref="P27" r:id="rId16" display="http://www.konkoly.hu/cgi-bin/IBVS?5764" xr:uid="{00000000-0004-0000-0200-00000F000000}"/>
    <hyperlink ref="P28" r:id="rId17" display="http://www.konkoly.hu/cgi-bin/IBVS?5764" xr:uid="{00000000-0004-0000-0200-000010000000}"/>
    <hyperlink ref="P29" r:id="rId18" display="http://www.konkoly.hu/cgi-bin/IBVS?5764" xr:uid="{00000000-0004-0000-0200-000011000000}"/>
    <hyperlink ref="P30" r:id="rId19" display="http://www.konkoly.hu/cgi-bin/IBVS?5764" xr:uid="{00000000-0004-0000-0200-000012000000}"/>
    <hyperlink ref="P57" r:id="rId20" display="http://vsolj.cetus-net.org/no45.pdf" xr:uid="{00000000-0004-0000-0200-000013000000}"/>
    <hyperlink ref="P31" r:id="rId21" display="http://www.konkoly.hu/cgi-bin/IBVS?5764" xr:uid="{00000000-0004-0000-0200-000014000000}"/>
    <hyperlink ref="P32" r:id="rId22" display="http://www.bav-astro.de/sfs/BAVM_link.php?BAVMnr=186" xr:uid="{00000000-0004-0000-0200-000015000000}"/>
    <hyperlink ref="P33" r:id="rId23" display="http://www.konkoly.hu/cgi-bin/IBVS?5910" xr:uid="{00000000-0004-0000-0200-000016000000}"/>
    <hyperlink ref="P34" r:id="rId24" display="http://www.konkoly.hu/cgi-bin/IBVS?5910" xr:uid="{00000000-0004-0000-0200-000017000000}"/>
    <hyperlink ref="P35" r:id="rId25" display="http://www.konkoly.hu/cgi-bin/IBVS?5910" xr:uid="{00000000-0004-0000-0200-000018000000}"/>
    <hyperlink ref="P36" r:id="rId26" display="http://www.konkoly.hu/cgi-bin/IBVS?5910" xr:uid="{00000000-0004-0000-0200-000019000000}"/>
    <hyperlink ref="P58" r:id="rId27" display="http://vsolj.cetus-net.org/no48.pdf" xr:uid="{00000000-0004-0000-0200-00001A000000}"/>
    <hyperlink ref="P59" r:id="rId28" display="http://vsolj.cetus-net.org/no48.pdf" xr:uid="{00000000-0004-0000-0200-00001B000000}"/>
    <hyperlink ref="P60" r:id="rId29" display="http://vsolj.cetus-net.org/vsoljno51.pdf" xr:uid="{00000000-0004-0000-0200-00001C000000}"/>
    <hyperlink ref="P37" r:id="rId30" display="http://www.konkoly.hu/cgi-bin/IBVS?5992" xr:uid="{00000000-0004-0000-0200-00001D000000}"/>
    <hyperlink ref="P38" r:id="rId31" display="http://www.konkoly.hu/cgi-bin/IBVS?6014" xr:uid="{00000000-0004-0000-0200-00001E000000}"/>
    <hyperlink ref="P39" r:id="rId32" display="http://www.konkoly.hu/cgi-bin/IBVS?6029" xr:uid="{00000000-0004-0000-0200-00001F000000}"/>
    <hyperlink ref="P61" r:id="rId33" display="http://www.bav-astro.de/sfs/BAVM_link.php?BAVMnr=241" xr:uid="{00000000-0004-0000-0200-00002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2024-02-27T00:08:55Z</dcterms:modified>
</cp:coreProperties>
</file>