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E40BC2E-5C47-49C0-A96E-7BE810FAF7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Q21" i="1"/>
  <c r="Q22" i="1"/>
  <c r="Q23" i="1"/>
  <c r="Q24" i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25" i="1"/>
  <c r="F25" i="1"/>
  <c r="G25" i="1"/>
  <c r="H25" i="1"/>
  <c r="E9" i="1"/>
  <c r="F16" i="1"/>
  <c r="F17" i="1" s="1"/>
  <c r="C17" i="1"/>
  <c r="Q25" i="1"/>
  <c r="C11" i="1"/>
  <c r="C12" i="1"/>
  <c r="C16" i="1" l="1"/>
  <c r="D18" i="1" s="1"/>
  <c r="C15" i="1"/>
  <c r="F18" i="1" s="1"/>
  <c r="O24" i="1"/>
  <c r="O22" i="1"/>
  <c r="O25" i="1"/>
  <c r="O23" i="1"/>
  <c r="O21" i="1"/>
  <c r="C18" i="1" l="1"/>
  <c r="F19" i="1"/>
</calcChain>
</file>

<file path=xl/sharedStrings.xml><?xml version="1.0" encoding="utf-8"?>
<sst xmlns="http://schemas.openxmlformats.org/spreadsheetml/2006/main" count="100" uniqueCount="77">
  <si>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</si>
  <si>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</si>
  <si>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</si>
  <si>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</si>
  <si>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</si>
  <si>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</si>
  <si>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</si>
  <si>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</si>
  <si>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</si>
  <si>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</si>
  <si>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</si>
  <si>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</si>
  <si>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</si>
  <si>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</si>
  <si>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</si>
  <si>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</si>
  <si>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</si>
  <si>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</si>
  <si>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</si>
  <si>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</si>
  <si>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</si>
  <si>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</si>
  <si>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</si>
  <si>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</si>
  <si>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</si>
  <si>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</si>
  <si>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</si>
  <si>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</si>
  <si>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</si>
  <si>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</si>
  <si>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</si>
  <si>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</si>
  <si>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</si>
  <si>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</si>
  <si>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</si>
  <si>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</si>
  <si>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</si>
  <si>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</si>
  <si>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</si>
  <si>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</si>
  <si>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</si>
  <si>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</si>
  <si>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</si>
  <si>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</si>
  <si>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</si>
  <si>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</si>
  <si>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</si>
  <si>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</si>
  <si>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</si>
  <si>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CV Ser</t>
  </si>
  <si>
    <t>E/D/WR</t>
  </si>
  <si>
    <t>GCVS 4</t>
  </si>
  <si>
    <t>CV Ser / GSC 52520.2</t>
  </si>
  <si>
    <t>2429023.82 </t>
  </si>
  <si>
    <t> 05.05.1938 07:40 </t>
  </si>
  <si>
    <t> -0.07 </t>
  </si>
  <si>
    <t> S.Gaposchkin </t>
  </si>
  <si>
    <t> PZ 7.36 </t>
  </si>
  <si>
    <t>2437887.76 </t>
  </si>
  <si>
    <t> 11.08.1962 06:14 </t>
  </si>
  <si>
    <t> -1.73 </t>
  </si>
  <si>
    <t>E </t>
  </si>
  <si>
    <t>?</t>
  </si>
  <si>
    <t> Hjellming&amp;Hiltner </t>
  </si>
  <si>
    <t> APJ 137.1080 </t>
  </si>
  <si>
    <t>2440013.443 </t>
  </si>
  <si>
    <t> 05.06.1968 22:37 </t>
  </si>
  <si>
    <t> 0.366 </t>
  </si>
  <si>
    <t> A.Cherepashchuk </t>
  </si>
  <si>
    <t> AC 620 </t>
  </si>
  <si>
    <t>2440784.00 </t>
  </si>
  <si>
    <t> 16.07.1970 12:00 </t>
  </si>
  <si>
    <t> -1.29 </t>
  </si>
  <si>
    <t> A.P.Cowley et al. </t>
  </si>
  <si>
    <t> AAP 11.407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</si>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</sst>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3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Ser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35127795846455"/>
          <c:w val="0.8481203007518797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3.4390000000021246</c:v>
                </c:pt>
                <c:pt idx="1">
                  <c:v>-0.75749999999970896</c:v>
                </c:pt>
                <c:pt idx="2">
                  <c:v>0.73200000000360887</c:v>
                </c:pt>
                <c:pt idx="3">
                  <c:v>-1.1449999999967986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5-4A3C-95AD-13F9BCFAC9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5-4A3C-95AD-13F9BCFAC9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5-4A3C-95AD-13F9BCFAC9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5-4A3C-95AD-13F9BCFAC9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5-4A3C-95AD-13F9BCFAC9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5-4A3C-95AD-13F9BCFAC9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5-4A3C-95AD-13F9BCFAC9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1.9042769025530584</c:v>
                </c:pt>
                <c:pt idx="1">
                  <c:v>0.73748303186715947</c:v>
                </c:pt>
                <c:pt idx="2">
                  <c:v>0.45799974290889556</c:v>
                </c:pt>
                <c:pt idx="3">
                  <c:v>0.35636945601498149</c:v>
                </c:pt>
                <c:pt idx="4">
                  <c:v>-1.1876291333348679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5-4A3C-95AD-13F9BCFAC9E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-791</c:v>
                </c:pt>
                <c:pt idx="1">
                  <c:v>-492.5</c:v>
                </c:pt>
                <c:pt idx="2">
                  <c:v>-421</c:v>
                </c:pt>
                <c:pt idx="3">
                  <c:v>-395</c:v>
                </c:pt>
                <c:pt idx="4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C5-4A3C-95AD-13F9BCFA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468360"/>
        <c:axId val="1"/>
      </c:scatterChart>
      <c:valAx>
        <c:axId val="54046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468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A515EF-6413-748B-5797-E2CF693CC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3" customFormat="1" ht="20.25" x14ac:dyDescent="0.2">
      <c r="A1" s="51" t="s">
        <v>52</v>
      </c>
      <c r="F1" s="19" t="s">
        <v>49</v>
      </c>
      <c r="G1" s="20">
        <v>18.190739999999998</v>
      </c>
      <c r="H1" s="21">
        <v>-11.3759</v>
      </c>
      <c r="I1" s="5">
        <v>52520.2</v>
      </c>
      <c r="J1" s="5">
        <v>29.709</v>
      </c>
      <c r="K1" s="22" t="s">
        <v>50</v>
      </c>
      <c r="L1" s="4"/>
      <c r="M1" s="5">
        <v>52520.2</v>
      </c>
      <c r="N1" s="5">
        <v>29.709</v>
      </c>
      <c r="O1" s="6" t="s">
        <v>50</v>
      </c>
    </row>
    <row r="2" spans="1:15" s="23" customFormat="1" ht="12.95" customHeight="1" x14ac:dyDescent="0.2">
      <c r="A2" s="23" t="s">
        <v>23</v>
      </c>
      <c r="B2" s="23" t="s">
        <v>50</v>
      </c>
      <c r="C2" s="24"/>
      <c r="D2" s="25"/>
    </row>
    <row r="3" spans="1:15" s="23" customFormat="1" ht="12.95" customHeight="1" thickBot="1" x14ac:dyDescent="0.25"/>
    <row r="4" spans="1:15" s="23" customFormat="1" ht="12.95" customHeight="1" thickTop="1" thickBot="1" x14ac:dyDescent="0.25">
      <c r="A4" s="26" t="s">
        <v>0</v>
      </c>
      <c r="C4" s="27">
        <v>40785.29</v>
      </c>
      <c r="D4" s="28">
        <v>29.700500000000002</v>
      </c>
    </row>
    <row r="5" spans="1:15" s="23" customFormat="1" ht="12.95" customHeight="1" thickTop="1" x14ac:dyDescent="0.2">
      <c r="A5" s="29" t="s">
        <v>28</v>
      </c>
      <c r="C5" s="30">
        <v>-9.5</v>
      </c>
      <c r="D5" s="23" t="s">
        <v>29</v>
      </c>
    </row>
    <row r="6" spans="1:15" s="23" customFormat="1" ht="12.95" customHeight="1" x14ac:dyDescent="0.2">
      <c r="A6" s="26" t="s">
        <v>1</v>
      </c>
    </row>
    <row r="7" spans="1:15" s="23" customFormat="1" ht="12.95" customHeight="1" x14ac:dyDescent="0.2">
      <c r="A7" s="23" t="s">
        <v>2</v>
      </c>
      <c r="C7" s="52">
        <v>52520.2</v>
      </c>
      <c r="D7" s="32" t="s">
        <v>51</v>
      </c>
    </row>
    <row r="8" spans="1:15" s="23" customFormat="1" ht="12.95" customHeight="1" x14ac:dyDescent="0.2">
      <c r="A8" s="23" t="s">
        <v>3</v>
      </c>
      <c r="C8" s="52">
        <v>29.709</v>
      </c>
      <c r="D8" s="32" t="s">
        <v>51</v>
      </c>
    </row>
    <row r="9" spans="1:15" s="23" customFormat="1" ht="12.95" customHeight="1" x14ac:dyDescent="0.2">
      <c r="A9" s="33" t="s">
        <v>32</v>
      </c>
      <c r="C9" s="34">
        <v>21</v>
      </c>
      <c r="D9" s="35" t="str">
        <f>"F"&amp;C9</f>
        <v>F21</v>
      </c>
      <c r="E9" s="36" t="str">
        <f>"G"&amp;C9</f>
        <v>G21</v>
      </c>
    </row>
    <row r="10" spans="1:15" s="23" customFormat="1" ht="12.95" customHeight="1" thickBot="1" x14ac:dyDescent="0.25">
      <c r="C10" s="37" t="s">
        <v>19</v>
      </c>
      <c r="D10" s="37" t="s">
        <v>20</v>
      </c>
    </row>
    <row r="11" spans="1:15" s="23" customFormat="1" ht="12.95" customHeight="1" x14ac:dyDescent="0.2">
      <c r="A11" s="23" t="s">
        <v>15</v>
      </c>
      <c r="C11" s="36">
        <f ca="1">INTERCEPT(INDIRECT($E$9):G992,INDIRECT($D$9):F992)</f>
        <v>-1.1876291333348679</v>
      </c>
      <c r="D11" s="25"/>
    </row>
    <row r="12" spans="1:15" s="23" customFormat="1" ht="12.95" customHeight="1" x14ac:dyDescent="0.2">
      <c r="A12" s="23" t="s">
        <v>16</v>
      </c>
      <c r="C12" s="36">
        <f ca="1">SLOPE(INDIRECT($E$9):G992,INDIRECT($D$9):F992)</f>
        <v>-3.9088571882274666E-3</v>
      </c>
      <c r="D12" s="25"/>
    </row>
    <row r="13" spans="1:15" s="23" customFormat="1" ht="12.95" customHeight="1" x14ac:dyDescent="0.2">
      <c r="A13" s="23" t="s">
        <v>18</v>
      </c>
      <c r="C13" s="25" t="s">
        <v>13</v>
      </c>
    </row>
    <row r="14" spans="1:15" s="23" customFormat="1" ht="12.95" customHeight="1" x14ac:dyDescent="0.2"/>
    <row r="15" spans="1:15" s="23" customFormat="1" ht="12.95" customHeight="1" x14ac:dyDescent="0.2">
      <c r="A15" s="38" t="s">
        <v>17</v>
      </c>
      <c r="C15" s="39">
        <f ca="1">(C7+C11)+(C8+C12)*INT(MAX(F21:F3533))</f>
        <v>52519.012370866665</v>
      </c>
      <c r="E15" s="40" t="s">
        <v>34</v>
      </c>
      <c r="F15" s="41">
        <v>1</v>
      </c>
    </row>
    <row r="16" spans="1:15" s="23" customFormat="1" ht="12.95" customHeight="1" x14ac:dyDescent="0.2">
      <c r="A16" s="26" t="s">
        <v>4</v>
      </c>
      <c r="C16" s="42">
        <f ca="1">+C8+C12</f>
        <v>29.705091142811771</v>
      </c>
      <c r="E16" s="40" t="s">
        <v>30</v>
      </c>
      <c r="F16" s="42">
        <f ca="1">NOW()+15018.5+$C$5/24</f>
        <v>60374.819001620366</v>
      </c>
    </row>
    <row r="17" spans="1:18" s="23" customFormat="1" ht="12.95" customHeight="1" thickBot="1" x14ac:dyDescent="0.25">
      <c r="A17" s="40" t="s">
        <v>27</v>
      </c>
      <c r="C17" s="23">
        <f>COUNT(C21:C2191)</f>
        <v>5</v>
      </c>
      <c r="E17" s="40" t="s">
        <v>35</v>
      </c>
      <c r="F17" s="43">
        <f ca="1">ROUND(2*(F16-$C$7)/$C$8,0)/2+F15</f>
        <v>265.5</v>
      </c>
    </row>
    <row r="18" spans="1:18" s="23" customFormat="1" ht="12.95" customHeight="1" thickTop="1" thickBot="1" x14ac:dyDescent="0.25">
      <c r="A18" s="26" t="s">
        <v>5</v>
      </c>
      <c r="C18" s="44">
        <f ca="1">+C15</f>
        <v>52519.012370866665</v>
      </c>
      <c r="D18" s="45">
        <f ca="1">+C16</f>
        <v>29.705091142811771</v>
      </c>
      <c r="E18" s="40" t="s">
        <v>36</v>
      </c>
      <c r="F18" s="36">
        <f ca="1">ROUND(2*(F16-$C$15)/$C$16,0)/2+F15</f>
        <v>265.5</v>
      </c>
    </row>
    <row r="19" spans="1:18" s="23" customFormat="1" ht="12.95" customHeight="1" thickTop="1" x14ac:dyDescent="0.2">
      <c r="E19" s="40" t="s">
        <v>31</v>
      </c>
      <c r="F19" s="46">
        <f ca="1">+$C$15+$C$16*F18-15018.5-$C$5/24</f>
        <v>45387.609902616525</v>
      </c>
    </row>
    <row r="20" spans="1:18" s="23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7" t="s">
        <v>37</v>
      </c>
      <c r="I20" s="47" t="s">
        <v>38</v>
      </c>
      <c r="J20" s="47" t="s">
        <v>39</v>
      </c>
      <c r="K20" s="47" t="s">
        <v>40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37" t="s">
        <v>14</v>
      </c>
      <c r="R20" s="49" t="s">
        <v>33</v>
      </c>
    </row>
    <row r="21" spans="1:18" s="23" customFormat="1" ht="12.95" customHeight="1" x14ac:dyDescent="0.2">
      <c r="A21" s="23" t="s">
        <v>57</v>
      </c>
      <c r="B21" s="23" t="s">
        <v>75</v>
      </c>
      <c r="C21" s="31">
        <v>29023.82</v>
      </c>
      <c r="D21" s="31"/>
      <c r="E21" s="23">
        <f>+(C21-C$7)/C$8</f>
        <v>-790.88424383183542</v>
      </c>
      <c r="F21" s="23">
        <f>ROUND(2*E21,0)/2</f>
        <v>-791</v>
      </c>
      <c r="G21" s="23">
        <f>+C21-(C$7+F21*C$8)</f>
        <v>3.4390000000021246</v>
      </c>
      <c r="H21" s="23">
        <f>+G21</f>
        <v>3.4390000000021246</v>
      </c>
      <c r="O21" s="23">
        <f ca="1">+C$11+C$12*$F21</f>
        <v>1.9042769025530584</v>
      </c>
      <c r="Q21" s="50">
        <f>+C21-15018.5</f>
        <v>14005.32</v>
      </c>
    </row>
    <row r="22" spans="1:18" s="23" customFormat="1" ht="12.95" customHeight="1" x14ac:dyDescent="0.2">
      <c r="A22" s="23" t="s">
        <v>64</v>
      </c>
      <c r="B22" s="23" t="s">
        <v>76</v>
      </c>
      <c r="C22" s="31">
        <v>37887.760000000002</v>
      </c>
      <c r="D22" s="31"/>
      <c r="E22" s="23">
        <f>+(C22-C$7)/C$8</f>
        <v>-492.52549732404304</v>
      </c>
      <c r="F22" s="23">
        <f>ROUND(2*E22,0)/2</f>
        <v>-492.5</v>
      </c>
      <c r="G22" s="23">
        <f>+C22-(C$7+F22*C$8)</f>
        <v>-0.75749999999970896</v>
      </c>
      <c r="H22" s="23">
        <f>+G22</f>
        <v>-0.75749999999970896</v>
      </c>
      <c r="O22" s="23">
        <f ca="1">+C$11+C$12*$F22</f>
        <v>0.73748303186715947</v>
      </c>
      <c r="Q22" s="50">
        <f>+C22-15018.5</f>
        <v>22869.260000000002</v>
      </c>
    </row>
    <row r="23" spans="1:18" s="23" customFormat="1" ht="12.95" customHeight="1" x14ac:dyDescent="0.2">
      <c r="A23" s="23" t="s">
        <v>69</v>
      </c>
      <c r="B23" s="23" t="s">
        <v>75</v>
      </c>
      <c r="C23" s="31">
        <v>40013.442999999999</v>
      </c>
      <c r="D23" s="31"/>
      <c r="E23" s="23">
        <f>+(C23-C$7)/C$8</f>
        <v>-420.97536100171658</v>
      </c>
      <c r="F23" s="23">
        <f>ROUND(2*E23,0)/2</f>
        <v>-421</v>
      </c>
      <c r="G23" s="23">
        <f>+C23-(C$7+F23*C$8)</f>
        <v>0.73200000000360887</v>
      </c>
      <c r="H23" s="23">
        <f>+G23</f>
        <v>0.73200000000360887</v>
      </c>
      <c r="O23" s="23">
        <f ca="1">+C$11+C$12*$F23</f>
        <v>0.45799974290889556</v>
      </c>
      <c r="Q23" s="50">
        <f>+C23-15018.5</f>
        <v>24994.942999999999</v>
      </c>
    </row>
    <row r="24" spans="1:18" s="23" customFormat="1" ht="12.95" customHeight="1" x14ac:dyDescent="0.2">
      <c r="A24" s="23" t="s">
        <v>74</v>
      </c>
      <c r="B24" s="23" t="s">
        <v>75</v>
      </c>
      <c r="C24" s="31">
        <v>40784</v>
      </c>
      <c r="D24" s="31"/>
      <c r="E24" s="23">
        <f>+(C24-C$7)/C$8</f>
        <v>-395.03854050960979</v>
      </c>
      <c r="F24" s="23">
        <f>ROUND(2*E24,0)/2</f>
        <v>-395</v>
      </c>
      <c r="G24" s="23">
        <f>+C24-(C$7+F24*C$8)</f>
        <v>-1.1449999999967986</v>
      </c>
      <c r="H24" s="23">
        <f>+G24</f>
        <v>-1.1449999999967986</v>
      </c>
      <c r="O24" s="23">
        <f ca="1">+C$11+C$12*$F24</f>
        <v>0.35636945601498149</v>
      </c>
      <c r="Q24" s="50">
        <f>+C24-15018.5</f>
        <v>25765.5</v>
      </c>
    </row>
    <row r="25" spans="1:18" s="23" customFormat="1" ht="12.95" customHeight="1" x14ac:dyDescent="0.2">
      <c r="A25" s="23" t="s">
        <v>51</v>
      </c>
      <c r="C25" s="31">
        <v>52520.2</v>
      </c>
      <c r="D25" s="31" t="s">
        <v>13</v>
      </c>
      <c r="E25" s="23">
        <f>+(C25-C$7)/C$8</f>
        <v>0</v>
      </c>
      <c r="F25" s="23">
        <f>ROUND(2*E25,0)/2</f>
        <v>0</v>
      </c>
      <c r="G25" s="23">
        <f>+C25-(C$7+F25*C$8)</f>
        <v>0</v>
      </c>
      <c r="H25" s="23">
        <f>+G25</f>
        <v>0</v>
      </c>
      <c r="O25" s="23">
        <f ca="1">+C$11+C$12*$F25</f>
        <v>-1.1876291333348679</v>
      </c>
      <c r="Q25" s="50">
        <f>+C25-15018.5</f>
        <v>37501.699999999997</v>
      </c>
    </row>
    <row r="26" spans="1:18" s="23" customFormat="1" ht="12.95" customHeight="1" x14ac:dyDescent="0.2">
      <c r="C26" s="31"/>
      <c r="D26" s="31"/>
      <c r="Q26" s="50"/>
    </row>
    <row r="27" spans="1:18" s="23" customFormat="1" ht="12.95" customHeight="1" x14ac:dyDescent="0.2">
      <c r="C27" s="31"/>
      <c r="D27" s="31"/>
      <c r="Q27" s="50"/>
    </row>
    <row r="28" spans="1:18" s="23" customFormat="1" ht="12.95" customHeight="1" x14ac:dyDescent="0.2">
      <c r="C28" s="31"/>
      <c r="D28" s="31"/>
      <c r="Q28" s="50"/>
    </row>
    <row r="29" spans="1:18" s="23" customFormat="1" ht="12.95" customHeight="1" x14ac:dyDescent="0.2">
      <c r="C29" s="31"/>
      <c r="D29" s="31"/>
      <c r="Q29" s="50"/>
    </row>
    <row r="30" spans="1:18" s="23" customFormat="1" ht="12.95" customHeight="1" x14ac:dyDescent="0.2">
      <c r="C30" s="31"/>
      <c r="D30" s="31"/>
      <c r="Q30" s="50"/>
    </row>
    <row r="31" spans="1:18" s="23" customFormat="1" ht="12.95" customHeight="1" x14ac:dyDescent="0.2">
      <c r="C31" s="31"/>
      <c r="D31" s="31"/>
      <c r="Q31" s="50"/>
    </row>
    <row r="32" spans="1:18" s="23" customFormat="1" ht="12.95" customHeight="1" x14ac:dyDescent="0.2">
      <c r="C32" s="31"/>
      <c r="D32" s="31"/>
      <c r="Q32" s="50"/>
    </row>
    <row r="33" spans="3:17" s="23" customFormat="1" ht="12.95" customHeight="1" x14ac:dyDescent="0.2">
      <c r="C33" s="31"/>
      <c r="D33" s="31"/>
      <c r="Q33" s="50"/>
    </row>
    <row r="34" spans="3:17" s="23" customFormat="1" ht="12.95" customHeight="1" x14ac:dyDescent="0.2">
      <c r="C34" s="31"/>
      <c r="D34" s="31"/>
    </row>
    <row r="35" spans="3:17" s="23" customFormat="1" ht="12.95" customHeight="1" x14ac:dyDescent="0.2">
      <c r="C35" s="31"/>
      <c r="D35" s="31"/>
    </row>
    <row r="36" spans="3:17" s="23" customFormat="1" ht="12.95" customHeight="1" x14ac:dyDescent="0.2">
      <c r="C36" s="31"/>
      <c r="D36" s="31"/>
    </row>
    <row r="37" spans="3:17" s="23" customFormat="1" ht="12.95" customHeight="1" x14ac:dyDescent="0.2">
      <c r="C37" s="31"/>
      <c r="D37" s="31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2"/>
  <sheetViews>
    <sheetView workbookViewId="0">
      <selection activeCell="A11" sqref="A11:C14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7" t="s">
        <v>41</v>
      </c>
      <c r="I1" s="8" t="s">
        <v>42</v>
      </c>
      <c r="J1" s="9" t="s">
        <v>40</v>
      </c>
    </row>
    <row r="2" spans="1:16" x14ac:dyDescent="0.2">
      <c r="I2" s="10" t="s">
        <v>43</v>
      </c>
      <c r="J2" s="11" t="s">
        <v>39</v>
      </c>
    </row>
    <row r="3" spans="1:16" x14ac:dyDescent="0.2">
      <c r="A3" s="12" t="s">
        <v>44</v>
      </c>
      <c r="I3" s="10" t="s">
        <v>45</v>
      </c>
      <c r="J3" s="11" t="s">
        <v>37</v>
      </c>
    </row>
    <row r="4" spans="1:16" x14ac:dyDescent="0.2">
      <c r="I4" s="10" t="s">
        <v>46</v>
      </c>
      <c r="J4" s="11" t="s">
        <v>37</v>
      </c>
    </row>
    <row r="5" spans="1:16" ht="13.5" thickBot="1" x14ac:dyDescent="0.25">
      <c r="I5" s="13" t="s">
        <v>47</v>
      </c>
      <c r="J5" s="14" t="s">
        <v>38</v>
      </c>
    </row>
    <row r="10" spans="1:16" ht="13.5" thickBot="1" x14ac:dyDescent="0.25"/>
    <row r="11" spans="1:16" ht="12.75" customHeight="1" thickBot="1" x14ac:dyDescent="0.25">
      <c r="A11" s="2" t="str">
        <f>P11</f>
        <v> PZ 7.36 </v>
      </c>
      <c r="B11" s="1" t="str">
        <f>IF(H11=INT(H11),"I","II")</f>
        <v>I</v>
      </c>
      <c r="C11" s="2">
        <f>1*G11</f>
        <v>29023.82</v>
      </c>
      <c r="D11" s="3" t="str">
        <f>VLOOKUP(F11,I$1:J$5,2,FALSE)</f>
        <v>vis</v>
      </c>
      <c r="E11" s="15">
        <f>VLOOKUP(C11,Active!C$21:E$973,3,FALSE)</f>
        <v>-790.88424383183542</v>
      </c>
      <c r="F11" s="1" t="s">
        <v>47</v>
      </c>
      <c r="G11" s="3" t="str">
        <f>MID(I11,3,LEN(I11)-3)</f>
        <v>29023.82</v>
      </c>
      <c r="H11" s="2">
        <f>1*K11</f>
        <v>-396</v>
      </c>
      <c r="I11" s="16" t="s">
        <v>53</v>
      </c>
      <c r="J11" s="17" t="s">
        <v>54</v>
      </c>
      <c r="K11" s="16">
        <v>-396</v>
      </c>
      <c r="L11" s="16" t="s">
        <v>55</v>
      </c>
      <c r="M11" s="17" t="s">
        <v>48</v>
      </c>
      <c r="N11" s="17"/>
      <c r="O11" s="18" t="s">
        <v>56</v>
      </c>
      <c r="P11" s="18" t="s">
        <v>57</v>
      </c>
    </row>
    <row r="12" spans="1:16" ht="12.75" customHeight="1" thickBot="1" x14ac:dyDescent="0.25">
      <c r="A12" s="2" t="str">
        <f>P12</f>
        <v> APJ 137.1080 </v>
      </c>
      <c r="B12" s="1" t="str">
        <f>IF(H12=INT(H12),"I","II")</f>
        <v>II</v>
      </c>
      <c r="C12" s="2">
        <f>1*G12</f>
        <v>37887.760000000002</v>
      </c>
      <c r="D12" s="3" t="str">
        <f>VLOOKUP(F12,I$1:J$5,2,FALSE)</f>
        <v>vis</v>
      </c>
      <c r="E12" s="15">
        <f>VLOOKUP(C12,Active!C$21:E$973,3,FALSE)</f>
        <v>-492.52549732404304</v>
      </c>
      <c r="F12" s="1" t="s">
        <v>47</v>
      </c>
      <c r="G12" s="3" t="str">
        <f>MID(I12,3,LEN(I12)-3)</f>
        <v>37887.76</v>
      </c>
      <c r="H12" s="2">
        <f>1*K12</f>
        <v>-97.5</v>
      </c>
      <c r="I12" s="16" t="s">
        <v>58</v>
      </c>
      <c r="J12" s="17" t="s">
        <v>59</v>
      </c>
      <c r="K12" s="16">
        <v>-97.5</v>
      </c>
      <c r="L12" s="16" t="s">
        <v>60</v>
      </c>
      <c r="M12" s="17" t="s">
        <v>61</v>
      </c>
      <c r="N12" s="17" t="s">
        <v>62</v>
      </c>
      <c r="O12" s="18" t="s">
        <v>63</v>
      </c>
      <c r="P12" s="18" t="s">
        <v>64</v>
      </c>
    </row>
    <row r="13" spans="1:16" ht="12.75" customHeight="1" thickBot="1" x14ac:dyDescent="0.25">
      <c r="A13" s="2" t="str">
        <f>P13</f>
        <v> AC 620 </v>
      </c>
      <c r="B13" s="1" t="str">
        <f>IF(H13=INT(H13),"I","II")</f>
        <v>I</v>
      </c>
      <c r="C13" s="2">
        <f>1*G13</f>
        <v>40013.442999999999</v>
      </c>
      <c r="D13" s="3" t="str">
        <f>VLOOKUP(F13,I$1:J$5,2,FALSE)</f>
        <v>vis</v>
      </c>
      <c r="E13" s="15">
        <f>VLOOKUP(C13,Active!C$21:E$973,3,FALSE)</f>
        <v>-420.97536100171658</v>
      </c>
      <c r="F13" s="1" t="s">
        <v>47</v>
      </c>
      <c r="G13" s="3" t="str">
        <f>MID(I13,3,LEN(I13)-3)</f>
        <v>40013.443</v>
      </c>
      <c r="H13" s="2">
        <f>1*K13</f>
        <v>-26</v>
      </c>
      <c r="I13" s="16" t="s">
        <v>65</v>
      </c>
      <c r="J13" s="17" t="s">
        <v>66</v>
      </c>
      <c r="K13" s="16">
        <v>-26</v>
      </c>
      <c r="L13" s="16" t="s">
        <v>67</v>
      </c>
      <c r="M13" s="17" t="s">
        <v>61</v>
      </c>
      <c r="N13" s="17" t="s">
        <v>62</v>
      </c>
      <c r="O13" s="18" t="s">
        <v>68</v>
      </c>
      <c r="P13" s="18" t="s">
        <v>69</v>
      </c>
    </row>
    <row r="14" spans="1:16" ht="12.75" customHeight="1" thickBot="1" x14ac:dyDescent="0.25">
      <c r="A14" s="2" t="str">
        <f>P14</f>
        <v> AAP 11.407 </v>
      </c>
      <c r="B14" s="1" t="str">
        <f>IF(H14=INT(H14),"I","II")</f>
        <v>I</v>
      </c>
      <c r="C14" s="2">
        <f>1*G14</f>
        <v>40784</v>
      </c>
      <c r="D14" s="3" t="str">
        <f>VLOOKUP(F14,I$1:J$5,2,FALSE)</f>
        <v>vis</v>
      </c>
      <c r="E14" s="15">
        <f>VLOOKUP(C14,Active!C$21:E$973,3,FALSE)</f>
        <v>-395.03854050960979</v>
      </c>
      <c r="F14" s="1" t="s">
        <v>47</v>
      </c>
      <c r="G14" s="3" t="str">
        <f>MID(I14,3,LEN(I14)-3)</f>
        <v>40784.00</v>
      </c>
      <c r="H14" s="2">
        <f>1*K14</f>
        <v>0</v>
      </c>
      <c r="I14" s="16" t="s">
        <v>70</v>
      </c>
      <c r="J14" s="17" t="s">
        <v>71</v>
      </c>
      <c r="K14" s="16">
        <v>0</v>
      </c>
      <c r="L14" s="16" t="s">
        <v>72</v>
      </c>
      <c r="M14" s="17" t="s">
        <v>48</v>
      </c>
      <c r="N14" s="17"/>
      <c r="O14" s="18" t="s">
        <v>73</v>
      </c>
      <c r="P14" s="18" t="s">
        <v>74</v>
      </c>
    </row>
    <row r="15" spans="1:16" x14ac:dyDescent="0.2">
      <c r="B15" s="1"/>
      <c r="F15" s="1"/>
    </row>
    <row r="16" spans="1:16" x14ac:dyDescent="0.2">
      <c r="B16" s="1"/>
      <c r="F16" s="1"/>
    </row>
    <row r="17" spans="2:6" x14ac:dyDescent="0.2">
      <c r="B17" s="1"/>
      <c r="F17" s="1"/>
    </row>
    <row r="18" spans="2:6" x14ac:dyDescent="0.2">
      <c r="B18" s="1"/>
      <c r="F18" s="1"/>
    </row>
    <row r="19" spans="2:6" x14ac:dyDescent="0.2">
      <c r="B19" s="1"/>
      <c r="F19" s="1"/>
    </row>
    <row r="20" spans="2:6" x14ac:dyDescent="0.2">
      <c r="B20" s="1"/>
      <c r="F20" s="1"/>
    </row>
    <row r="21" spans="2:6" x14ac:dyDescent="0.2">
      <c r="B21" s="1"/>
      <c r="F21" s="1"/>
    </row>
    <row r="22" spans="2:6" x14ac:dyDescent="0.2">
      <c r="B22" s="1"/>
      <c r="F22" s="1"/>
    </row>
    <row r="23" spans="2:6" x14ac:dyDescent="0.2">
      <c r="B23" s="1"/>
      <c r="F23" s="1"/>
    </row>
    <row r="24" spans="2:6" x14ac:dyDescent="0.2">
      <c r="B24" s="1"/>
      <c r="F24" s="1"/>
    </row>
    <row r="25" spans="2:6" x14ac:dyDescent="0.2">
      <c r="B25" s="1"/>
      <c r="F25" s="1"/>
    </row>
    <row r="26" spans="2:6" x14ac:dyDescent="0.2">
      <c r="B26" s="1"/>
      <c r="F26" s="1"/>
    </row>
    <row r="27" spans="2:6" x14ac:dyDescent="0.2">
      <c r="B27" s="1"/>
      <c r="F27" s="1"/>
    </row>
    <row r="28" spans="2:6" x14ac:dyDescent="0.2">
      <c r="B28" s="1"/>
      <c r="F28" s="1"/>
    </row>
    <row r="29" spans="2:6" x14ac:dyDescent="0.2">
      <c r="B29" s="1"/>
      <c r="F29" s="1"/>
    </row>
    <row r="30" spans="2:6" x14ac:dyDescent="0.2">
      <c r="B30" s="1"/>
      <c r="F30" s="1"/>
    </row>
    <row r="31" spans="2:6" x14ac:dyDescent="0.2">
      <c r="B31" s="1"/>
      <c r="F31" s="1"/>
    </row>
    <row r="32" spans="2: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2024-03-05T06:39:21Z</dcterms:modified>
</cp:coreProperties>
</file>