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302468-D004-4E8D-9441-A131CE83D3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G14" i="2"/>
  <c r="C14" i="2"/>
  <c r="G13" i="2"/>
  <c r="C13" i="2"/>
  <c r="G12" i="2"/>
  <c r="C12" i="2"/>
  <c r="G11" i="2"/>
  <c r="C11" i="2"/>
  <c r="G15" i="2"/>
  <c r="C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5" i="2"/>
  <c r="D15" i="2"/>
  <c r="B15" i="2"/>
  <c r="A15" i="2"/>
  <c r="F11" i="1"/>
  <c r="Q25" i="1"/>
  <c r="Q22" i="1"/>
  <c r="Q23" i="1"/>
  <c r="Q24" i="1"/>
  <c r="D4" i="1"/>
  <c r="C8" i="1"/>
  <c r="C4" i="1"/>
  <c r="C7" i="1"/>
  <c r="B2" i="1"/>
  <c r="G11" i="1"/>
  <c r="Q26" i="1"/>
  <c r="E15" i="1"/>
  <c r="C17" i="1"/>
  <c r="E14" i="2"/>
  <c r="E21" i="1"/>
  <c r="F21" i="1"/>
  <c r="G21" i="1"/>
  <c r="E26" i="1"/>
  <c r="F26" i="1"/>
  <c r="E24" i="1"/>
  <c r="F24" i="1"/>
  <c r="G26" i="1"/>
  <c r="H26" i="1"/>
  <c r="E22" i="1"/>
  <c r="F22" i="1"/>
  <c r="G22" i="1"/>
  <c r="I22" i="1"/>
  <c r="G24" i="1"/>
  <c r="I24" i="1"/>
  <c r="E25" i="1"/>
  <c r="F25" i="1"/>
  <c r="E23" i="1"/>
  <c r="F23" i="1"/>
  <c r="G23" i="1"/>
  <c r="I23" i="1"/>
  <c r="G25" i="1"/>
  <c r="I25" i="1"/>
  <c r="E11" i="2"/>
  <c r="E12" i="2"/>
  <c r="E13" i="2"/>
  <c r="J21" i="1"/>
  <c r="E15" i="2"/>
  <c r="C12" i="1"/>
  <c r="C16" i="1" l="1"/>
  <c r="D18" i="1" s="1"/>
  <c r="C11" i="1"/>
  <c r="C15" i="1" l="1"/>
  <c r="O26" i="1"/>
  <c r="O24" i="1"/>
  <c r="O23" i="1"/>
  <c r="O2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<sst xmlns="http://schemas.openxmlformats.org/spreadsheetml/2006/main" count="105" uniqueCount="81">
  <si>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</si>
  <si>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</si>
  <si>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</si>
  <si>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</si>
  <si>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</si>
  <si>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</si>
  <si>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</si>
  <si>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</si>
  <si>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</si>
  <si>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</si>
  <si>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</si>
  <si>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</si>
  <si>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</si>
  <si>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</si>
  <si>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</si>
  <si>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</si>
  <si>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</si>
  <si>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</si>
  <si>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</si>
  <si>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</si>
  <si>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</si>
  <si>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</si>
  <si>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</si>
  <si>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</si>
  <si>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</si>
  <si>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</si>
  <si>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</si>
  <si>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</si>
  <si>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</si>
  <si>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</si>
  <si>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</si>
  <si>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</si>
  <si>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</si>
  <si>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</si>
  <si>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</si>
  <si>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</si>
  <si>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</si>
  <si>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</si>
  <si>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</si>
  <si>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MY Ser / GSC 5685-4419               </t>
  </si>
  <si>
    <t xml:space="preserve">EB        </t>
  </si>
  <si>
    <t>IBVS 3629</t>
  </si>
  <si>
    <t>II</t>
  </si>
  <si>
    <t>IBVS 3805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</si>
  <si>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</si>
  <si>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</si>
  <si>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</si>
  <si>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</si>
  <si>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</si>
  <si>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</si>
  <si>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</si>
  <si>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</si>
  <si>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</si>
  <si>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</si>
  <si>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</si>
  <si>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2445937.00 </t>
  </si>
  <si>
    <t> 24.08.1984 12:00 </t>
  </si>
  <si>
    <t> 0.01 </t>
  </si>
  <si>
    <t>P </t>
  </si>
  <si>
    <t> C.Leitherer et al. </t>
  </si>
  <si>
    <t> AAP 185.121 </t>
  </si>
  <si>
    <t>2446230.941 </t>
  </si>
  <si>
    <t> 14.06.1985 10:35 </t>
  </si>
  <si>
    <t> 0.000 </t>
  </si>
  <si>
    <t>E </t>
  </si>
  <si>
    <t>?</t>
  </si>
  <si>
    <t> Davidge &amp; Forbes </t>
  </si>
  <si>
    <t>IBVS 3629 </t>
  </si>
  <si>
    <t>2446232.6125 </t>
  </si>
  <si>
    <t> 16.06.1985 02:42 </t>
  </si>
  <si>
    <t> -0.0000 </t>
  </si>
  <si>
    <t>2448067.7894 </t>
  </si>
  <si>
    <t> 25.06.1990 06:56 </t>
  </si>
  <si>
    <t> -0.0006 </t>
  </si>
  <si>
    <t> R.Lorenz et al. </t>
  </si>
  <si>
    <t>2448753.7130 </t>
  </si>
  <si>
    <t> 11.05.1992 05:06 </t>
  </si>
  <si>
    <t> 0.0000 </t>
  </si>
  <si>
    <t> Mayer &amp; Drechsel </t>
  </si>
  <si>
    <t>IBVS 3805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</si>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</sst>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Ser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-1976</c:v>
                </c:pt>
                <c:pt idx="1">
                  <c:v>-1887.5</c:v>
                </c:pt>
                <c:pt idx="2">
                  <c:v>-1887</c:v>
                </c:pt>
                <c:pt idx="3">
                  <c:v>-1334.5</c:v>
                </c:pt>
                <c:pt idx="4">
                  <c:v>-1128</c:v>
                </c:pt>
                <c:pt idx="5">
                  <c:v>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3-4CA8-844D-B4C3E30B9E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-1976</c:v>
                </c:pt>
                <c:pt idx="1">
                  <c:v>-1887.5</c:v>
                </c:pt>
                <c:pt idx="2">
                  <c:v>-1887</c:v>
                </c:pt>
                <c:pt idx="3">
                  <c:v>-1334.5</c:v>
                </c:pt>
                <c:pt idx="4">
                  <c:v>-1128</c:v>
                </c:pt>
                <c:pt idx="5">
                  <c:v>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-4.1387500023120083E-3</c:v>
                </c:pt>
                <c:pt idx="2">
                  <c:v>6.5592999962973408E-3</c:v>
                </c:pt>
                <c:pt idx="3">
                  <c:v>-2.6954499990097247E-3</c:v>
                </c:pt>
                <c:pt idx="4">
                  <c:v>9.6992000035243109E-3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3-4CA8-844D-B4C3E30B9E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-1976</c:v>
                </c:pt>
                <c:pt idx="1">
                  <c:v>-1887.5</c:v>
                </c:pt>
                <c:pt idx="2">
                  <c:v>-1887</c:v>
                </c:pt>
                <c:pt idx="3">
                  <c:v>-1334.5</c:v>
                </c:pt>
                <c:pt idx="4">
                  <c:v>-1128</c:v>
                </c:pt>
                <c:pt idx="5">
                  <c:v>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1.6806399995402899E-2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83-4CA8-844D-B4C3E30B9E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-1976</c:v>
                </c:pt>
                <c:pt idx="1">
                  <c:v>-1887.5</c:v>
                </c:pt>
                <c:pt idx="2">
                  <c:v>-1887</c:v>
                </c:pt>
                <c:pt idx="3">
                  <c:v>-1334.5</c:v>
                </c:pt>
                <c:pt idx="4">
                  <c:v>-1128</c:v>
                </c:pt>
                <c:pt idx="5">
                  <c:v>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83-4CA8-844D-B4C3E30B9E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-1976</c:v>
                </c:pt>
                <c:pt idx="1">
                  <c:v>-1887.5</c:v>
                </c:pt>
                <c:pt idx="2">
                  <c:v>-1887</c:v>
                </c:pt>
                <c:pt idx="3">
                  <c:v>-1334.5</c:v>
                </c:pt>
                <c:pt idx="4">
                  <c:v>-1128</c:v>
                </c:pt>
                <c:pt idx="5">
                  <c:v>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83-4CA8-844D-B4C3E30B9E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-1976</c:v>
                </c:pt>
                <c:pt idx="1">
                  <c:v>-1887.5</c:v>
                </c:pt>
                <c:pt idx="2">
                  <c:v>-1887</c:v>
                </c:pt>
                <c:pt idx="3">
                  <c:v>-1334.5</c:v>
                </c:pt>
                <c:pt idx="4">
                  <c:v>-1128</c:v>
                </c:pt>
                <c:pt idx="5">
                  <c:v>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83-4CA8-844D-B4C3E30B9E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-1976</c:v>
                </c:pt>
                <c:pt idx="1">
                  <c:v>-1887.5</c:v>
                </c:pt>
                <c:pt idx="2">
                  <c:v>-1887</c:v>
                </c:pt>
                <c:pt idx="3">
                  <c:v>-1334.5</c:v>
                </c:pt>
                <c:pt idx="4">
                  <c:v>-1128</c:v>
                </c:pt>
                <c:pt idx="5">
                  <c:v>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83-4CA8-844D-B4C3E30B9E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-1976</c:v>
                </c:pt>
                <c:pt idx="1">
                  <c:v>-1887.5</c:v>
                </c:pt>
                <c:pt idx="2">
                  <c:v>-1887</c:v>
                </c:pt>
                <c:pt idx="3">
                  <c:v>-1334.5</c:v>
                </c:pt>
                <c:pt idx="4">
                  <c:v>-1128</c:v>
                </c:pt>
                <c:pt idx="5">
                  <c:v>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6.3421267060915229E-3</c:v>
                </c:pt>
                <c:pt idx="1">
                  <c:v>6.0549314462852643E-3</c:v>
                </c:pt>
                <c:pt idx="2">
                  <c:v>6.0533088741959633E-3</c:v>
                </c:pt>
                <c:pt idx="3">
                  <c:v>4.260366715518475E-3</c:v>
                </c:pt>
                <c:pt idx="4">
                  <c:v>3.5902444426372053E-3</c:v>
                </c:pt>
                <c:pt idx="5">
                  <c:v>-7.0278190825613131E-5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83-4CA8-844D-B4C3E30B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17056"/>
        <c:axId val="1"/>
      </c:scatterChart>
      <c:valAx>
        <c:axId val="84071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1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4C4C5A-E313-5C97-C1FD-2A7D815AC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3629" TargetMode="External"/><Relationship Id="rId2" Type="http://schemas.openxmlformats.org/officeDocument/2006/relationships/hyperlink" Target="http://www.konkoly.hu/cgi-bin/IBVS?3629" TargetMode="External"/><Relationship Id="rId1" Type="http://schemas.openxmlformats.org/officeDocument/2006/relationships/hyperlink" Target="http://www.konkoly.hu/cgi-bin/IBVS?3629" TargetMode="External"/><Relationship Id="rId4" Type="http://schemas.openxmlformats.org/officeDocument/2006/relationships/hyperlink" Target="http://www.konkoly.hu/cgi-bin/IBVS?3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s="23" customFormat="1" ht="20.25" x14ac:dyDescent="0.2">
      <c r="A1" s="54" t="s">
        <v>39</v>
      </c>
      <c r="F1" s="24">
        <v>52500.472500000003</v>
      </c>
      <c r="G1" s="24">
        <v>3.3216038999999999</v>
      </c>
      <c r="H1" s="24" t="s">
        <v>40</v>
      </c>
    </row>
    <row r="2" spans="1:8" s="23" customFormat="1" ht="12.95" customHeight="1" x14ac:dyDescent="0.2">
      <c r="A2" s="23" t="s">
        <v>22</v>
      </c>
      <c r="B2" s="23" t="str">
        <f>H1</f>
        <v xml:space="preserve">EB        </v>
      </c>
      <c r="C2" s="24"/>
      <c r="D2" s="24"/>
    </row>
    <row r="3" spans="1:8" s="23" customFormat="1" ht="12.95" customHeight="1" thickBot="1" x14ac:dyDescent="0.25"/>
    <row r="4" spans="1:8" s="23" customFormat="1" ht="12.95" customHeight="1" thickTop="1" thickBot="1" x14ac:dyDescent="0.25">
      <c r="A4" s="25" t="s">
        <v>38</v>
      </c>
      <c r="C4" s="26">
        <f>F1</f>
        <v>52500.472500000003</v>
      </c>
      <c r="D4" s="27">
        <f>G1</f>
        <v>3.3216038999999999</v>
      </c>
    </row>
    <row r="5" spans="1:8" s="23" customFormat="1" ht="12.95" customHeight="1" x14ac:dyDescent="0.2">
      <c r="C5" s="28" t="s">
        <v>36</v>
      </c>
    </row>
    <row r="6" spans="1:8" s="23" customFormat="1" ht="12.95" customHeight="1" x14ac:dyDescent="0.2">
      <c r="A6" s="25" t="s">
        <v>0</v>
      </c>
    </row>
    <row r="7" spans="1:8" s="23" customFormat="1" ht="12.95" customHeight="1" x14ac:dyDescent="0.2">
      <c r="A7" s="23" t="s">
        <v>1</v>
      </c>
      <c r="C7" s="23">
        <f>C4</f>
        <v>52500.472500000003</v>
      </c>
    </row>
    <row r="8" spans="1:8" s="23" customFormat="1" ht="12.95" customHeight="1" x14ac:dyDescent="0.2">
      <c r="A8" s="23" t="s">
        <v>2</v>
      </c>
      <c r="C8" s="23">
        <f>D4</f>
        <v>3.3216038999999999</v>
      </c>
      <c r="D8" s="29"/>
    </row>
    <row r="9" spans="1:8" s="23" customFormat="1" ht="12.95" customHeight="1" x14ac:dyDescent="0.2">
      <c r="A9" s="30" t="s">
        <v>28</v>
      </c>
      <c r="C9" s="29">
        <v>-9.5</v>
      </c>
      <c r="D9" s="23" t="s">
        <v>29</v>
      </c>
    </row>
    <row r="10" spans="1:8" s="23" customFormat="1" ht="12.95" customHeight="1" thickBot="1" x14ac:dyDescent="0.25">
      <c r="C10" s="31" t="s">
        <v>18</v>
      </c>
      <c r="D10" s="31" t="s">
        <v>19</v>
      </c>
    </row>
    <row r="11" spans="1:8" s="23" customFormat="1" ht="12.95" customHeight="1" x14ac:dyDescent="0.2">
      <c r="A11" s="23" t="s">
        <v>14</v>
      </c>
      <c r="C11" s="32">
        <f ca="1">INTERCEPT(INDIRECT($G$11):G975,INDIRECT($F$11):F975)</f>
        <v>-7.0278190825613131E-5</v>
      </c>
      <c r="D11" s="24"/>
      <c r="F11" s="33" t="str">
        <f>"F"&amp;E19</f>
        <v>F21</v>
      </c>
      <c r="G11" s="32" t="str">
        <f>"G"&amp;E19</f>
        <v>G21</v>
      </c>
    </row>
    <row r="12" spans="1:8" s="23" customFormat="1" ht="12.95" customHeight="1" x14ac:dyDescent="0.2">
      <c r="A12" s="23" t="s">
        <v>15</v>
      </c>
      <c r="C12" s="32">
        <f ca="1">SLOPE(INDIRECT($G$11):G975,INDIRECT($F$11):F975)</f>
        <v>-3.2451441786017894E-6</v>
      </c>
      <c r="D12" s="24"/>
    </row>
    <row r="13" spans="1:8" s="23" customFormat="1" ht="12.95" customHeight="1" x14ac:dyDescent="0.2">
      <c r="A13" s="23" t="s">
        <v>17</v>
      </c>
      <c r="C13" s="24" t="s">
        <v>12</v>
      </c>
      <c r="D13" s="24"/>
    </row>
    <row r="14" spans="1:8" s="23" customFormat="1" ht="12.95" customHeight="1" x14ac:dyDescent="0.2"/>
    <row r="15" spans="1:8" s="23" customFormat="1" ht="12.95" customHeight="1" x14ac:dyDescent="0.2">
      <c r="A15" s="34" t="s">
        <v>16</v>
      </c>
      <c r="C15" s="35">
        <f ca="1">(C7+C11)+(C8+C12)*INT(MAX(F21:F3516))</f>
        <v>52500.472429721813</v>
      </c>
      <c r="D15" s="36" t="s">
        <v>30</v>
      </c>
      <c r="E15" s="37">
        <f ca="1">TODAY()+15018.5-B9/24</f>
        <v>60374.5</v>
      </c>
    </row>
    <row r="16" spans="1:8" s="23" customFormat="1" ht="12.95" customHeight="1" x14ac:dyDescent="0.2">
      <c r="A16" s="25" t="s">
        <v>3</v>
      </c>
      <c r="C16" s="38">
        <f ca="1">+C8+C12</f>
        <v>3.3216006548558212</v>
      </c>
      <c r="D16" s="36" t="s">
        <v>31</v>
      </c>
      <c r="E16" s="37">
        <f ca="1">ROUND(2*(E15-C15)/C16,0)/2+1</f>
        <v>2371.5</v>
      </c>
    </row>
    <row r="17" spans="1:17" s="23" customFormat="1" ht="12.95" customHeight="1" thickBot="1" x14ac:dyDescent="0.25">
      <c r="A17" s="36" t="s">
        <v>27</v>
      </c>
      <c r="C17" s="23">
        <f>COUNT(C21:C2174)</f>
        <v>6</v>
      </c>
      <c r="D17" s="36" t="s">
        <v>32</v>
      </c>
      <c r="E17" s="39">
        <f ca="1">+C15+C16*E16-15018.5-C9/24</f>
        <v>45359.544216045731</v>
      </c>
    </row>
    <row r="18" spans="1:17" s="23" customFormat="1" ht="12.95" customHeight="1" thickTop="1" thickBot="1" x14ac:dyDescent="0.25">
      <c r="A18" s="25" t="s">
        <v>4</v>
      </c>
      <c r="C18" s="40">
        <f ca="1">+C15</f>
        <v>52500.472429721813</v>
      </c>
      <c r="D18" s="41">
        <f ca="1">+C16</f>
        <v>3.3216006548558212</v>
      </c>
      <c r="E18" s="42" t="s">
        <v>33</v>
      </c>
    </row>
    <row r="19" spans="1:17" s="23" customFormat="1" ht="12.95" customHeight="1" thickTop="1" x14ac:dyDescent="0.2">
      <c r="A19" s="43" t="s">
        <v>34</v>
      </c>
      <c r="E19" s="44">
        <v>21</v>
      </c>
    </row>
    <row r="20" spans="1:17" s="23" customFormat="1" ht="12.95" customHeight="1" thickBot="1" x14ac:dyDescent="0.25">
      <c r="A20" s="31" t="s">
        <v>5</v>
      </c>
      <c r="B20" s="31" t="s">
        <v>6</v>
      </c>
      <c r="C20" s="31" t="s">
        <v>7</v>
      </c>
      <c r="D20" s="31" t="s">
        <v>11</v>
      </c>
      <c r="E20" s="31" t="s">
        <v>8</v>
      </c>
      <c r="F20" s="31" t="s">
        <v>9</v>
      </c>
      <c r="G20" s="31" t="s">
        <v>10</v>
      </c>
      <c r="H20" s="45" t="s">
        <v>37</v>
      </c>
      <c r="I20" s="45" t="s">
        <v>46</v>
      </c>
      <c r="J20" s="45" t="s">
        <v>80</v>
      </c>
      <c r="K20" s="45" t="s">
        <v>23</v>
      </c>
      <c r="L20" s="45" t="s">
        <v>24</v>
      </c>
      <c r="M20" s="45" t="s">
        <v>25</v>
      </c>
      <c r="N20" s="45" t="s">
        <v>26</v>
      </c>
      <c r="O20" s="45" t="s">
        <v>21</v>
      </c>
      <c r="P20" s="46" t="s">
        <v>20</v>
      </c>
      <c r="Q20" s="31" t="s">
        <v>13</v>
      </c>
    </row>
    <row r="21" spans="1:17" s="23" customFormat="1" ht="12.95" customHeight="1" x14ac:dyDescent="0.2">
      <c r="A21" s="47" t="s">
        <v>60</v>
      </c>
      <c r="B21" s="48" t="s">
        <v>35</v>
      </c>
      <c r="C21" s="49">
        <v>45937</v>
      </c>
      <c r="D21" s="50"/>
      <c r="E21" s="23">
        <f t="shared" ref="E21:E26" si="0">+(C21-C$7)/C$8</f>
        <v>-1975.9949402756913</v>
      </c>
      <c r="F21" s="23">
        <f t="shared" ref="F21:F26" si="1">ROUND(2*E21,0)/2</f>
        <v>-1976</v>
      </c>
      <c r="G21" s="23">
        <f t="shared" ref="G21:G26" si="2">+C21-(C$7+F21*C$8)</f>
        <v>1.6806399995402899E-2</v>
      </c>
      <c r="J21" s="23">
        <f>+G21</f>
        <v>1.6806399995402899E-2</v>
      </c>
      <c r="O21" s="23">
        <f t="shared" ref="O21:O26" ca="1" si="3">+C$11+C$12*$F21</f>
        <v>6.3421267060915229E-3</v>
      </c>
      <c r="Q21" s="51">
        <f t="shared" ref="Q21:Q26" si="4">+C21-15018.5</f>
        <v>30918.5</v>
      </c>
    </row>
    <row r="22" spans="1:17" s="23" customFormat="1" ht="12.95" customHeight="1" x14ac:dyDescent="0.2">
      <c r="A22" s="4" t="s">
        <v>41</v>
      </c>
      <c r="B22" s="5" t="s">
        <v>42</v>
      </c>
      <c r="C22" s="6">
        <v>46230.940999999999</v>
      </c>
      <c r="D22" s="7">
        <v>2E-3</v>
      </c>
      <c r="E22" s="23">
        <f t="shared" si="0"/>
        <v>-1887.501246009497</v>
      </c>
      <c r="F22" s="23">
        <f t="shared" si="1"/>
        <v>-1887.5</v>
      </c>
      <c r="G22" s="23">
        <f t="shared" si="2"/>
        <v>-4.1387500023120083E-3</v>
      </c>
      <c r="I22" s="23">
        <f>+G22</f>
        <v>-4.1387500023120083E-3</v>
      </c>
      <c r="O22" s="23">
        <f t="shared" ca="1" si="3"/>
        <v>6.0549314462852643E-3</v>
      </c>
      <c r="Q22" s="51">
        <f t="shared" si="4"/>
        <v>31212.440999999999</v>
      </c>
    </row>
    <row r="23" spans="1:17" s="23" customFormat="1" ht="12.95" customHeight="1" x14ac:dyDescent="0.2">
      <c r="A23" s="4" t="s">
        <v>41</v>
      </c>
      <c r="B23" s="5" t="s">
        <v>35</v>
      </c>
      <c r="C23" s="6">
        <v>46232.612500000003</v>
      </c>
      <c r="D23" s="7">
        <v>1E-3</v>
      </c>
      <c r="E23" s="23">
        <f t="shared" si="0"/>
        <v>-1886.9980252612302</v>
      </c>
      <c r="F23" s="23">
        <f t="shared" si="1"/>
        <v>-1887</v>
      </c>
      <c r="G23" s="23">
        <f t="shared" si="2"/>
        <v>6.5592999962973408E-3</v>
      </c>
      <c r="I23" s="23">
        <f>+G23</f>
        <v>6.5592999962973408E-3</v>
      </c>
      <c r="O23" s="23">
        <f t="shared" ca="1" si="3"/>
        <v>6.0533088741959633E-3</v>
      </c>
      <c r="Q23" s="51">
        <f t="shared" si="4"/>
        <v>31214.112500000003</v>
      </c>
    </row>
    <row r="24" spans="1:17" s="23" customFormat="1" ht="12.95" customHeight="1" x14ac:dyDescent="0.2">
      <c r="A24" s="4" t="s">
        <v>41</v>
      </c>
      <c r="B24" s="5" t="s">
        <v>42</v>
      </c>
      <c r="C24" s="6">
        <v>48067.789400000001</v>
      </c>
      <c r="D24" s="7">
        <v>8.0000000000000004E-4</v>
      </c>
      <c r="E24" s="23">
        <f t="shared" si="0"/>
        <v>-1334.5008114904977</v>
      </c>
      <c r="F24" s="23">
        <f t="shared" si="1"/>
        <v>-1334.5</v>
      </c>
      <c r="G24" s="23">
        <f t="shared" si="2"/>
        <v>-2.6954499990097247E-3</v>
      </c>
      <c r="I24" s="23">
        <f>+G24</f>
        <v>-2.6954499990097247E-3</v>
      </c>
      <c r="O24" s="23">
        <f t="shared" ca="1" si="3"/>
        <v>4.260366715518475E-3</v>
      </c>
      <c r="Q24" s="51">
        <f t="shared" si="4"/>
        <v>33049.289400000001</v>
      </c>
    </row>
    <row r="25" spans="1:17" s="23" customFormat="1" ht="12.95" customHeight="1" x14ac:dyDescent="0.2">
      <c r="A25" s="8" t="s">
        <v>43</v>
      </c>
      <c r="B25" s="9" t="s">
        <v>35</v>
      </c>
      <c r="C25" s="8">
        <v>48753.713000000003</v>
      </c>
      <c r="D25" s="8">
        <v>1E-3</v>
      </c>
      <c r="E25" s="23">
        <f t="shared" si="0"/>
        <v>-1127.9970799648929</v>
      </c>
      <c r="F25" s="23">
        <f t="shared" si="1"/>
        <v>-1128</v>
      </c>
      <c r="G25" s="23">
        <f t="shared" si="2"/>
        <v>9.6992000035243109E-3</v>
      </c>
      <c r="I25" s="23">
        <f>+G25</f>
        <v>9.6992000035243109E-3</v>
      </c>
      <c r="O25" s="23">
        <f t="shared" ca="1" si="3"/>
        <v>3.5902444426372053E-3</v>
      </c>
      <c r="Q25" s="51">
        <f t="shared" si="4"/>
        <v>33735.213000000003</v>
      </c>
    </row>
    <row r="26" spans="1:17" s="23" customFormat="1" ht="12.95" customHeight="1" x14ac:dyDescent="0.2">
      <c r="A26" s="52" t="s">
        <v>37</v>
      </c>
      <c r="B26" s="53" t="s">
        <v>35</v>
      </c>
      <c r="C26" s="52">
        <v>52500.472500000003</v>
      </c>
      <c r="D26" s="6"/>
      <c r="E26" s="23">
        <f t="shared" si="0"/>
        <v>0</v>
      </c>
      <c r="F26" s="23">
        <f t="shared" si="1"/>
        <v>0</v>
      </c>
      <c r="G26" s="23">
        <f t="shared" si="2"/>
        <v>0</v>
      </c>
      <c r="H26" s="23">
        <f>+G26</f>
        <v>0</v>
      </c>
      <c r="O26" s="23">
        <f t="shared" ca="1" si="3"/>
        <v>-7.0278190825613131E-5</v>
      </c>
      <c r="Q26" s="51">
        <f t="shared" si="4"/>
        <v>37481.972500000003</v>
      </c>
    </row>
    <row r="27" spans="1:17" s="23" customFormat="1" ht="12.95" customHeight="1" x14ac:dyDescent="0.2">
      <c r="C27" s="50"/>
      <c r="D27" s="50"/>
    </row>
    <row r="28" spans="1:17" s="23" customFormat="1" ht="12.95" customHeight="1" x14ac:dyDescent="0.2">
      <c r="C28" s="50"/>
      <c r="D28" s="50"/>
    </row>
    <row r="29" spans="1:17" s="23" customFormat="1" ht="12.95" customHeight="1" x14ac:dyDescent="0.2">
      <c r="C29" s="50"/>
      <c r="D29" s="50"/>
    </row>
    <row r="30" spans="1:17" s="23" customFormat="1" ht="12.95" customHeight="1" x14ac:dyDescent="0.2">
      <c r="C30" s="50"/>
      <c r="D30" s="50"/>
    </row>
    <row r="31" spans="1:17" x14ac:dyDescent="0.2">
      <c r="C31" s="2"/>
      <c r="D31" s="2"/>
    </row>
    <row r="32" spans="1:17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2"/>
  <sheetViews>
    <sheetView workbookViewId="0">
      <selection activeCell="A15" sqref="A15:C15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0" t="s">
        <v>44</v>
      </c>
      <c r="I1" s="11" t="s">
        <v>45</v>
      </c>
      <c r="J1" s="12" t="s">
        <v>46</v>
      </c>
    </row>
    <row r="2" spans="1:16" x14ac:dyDescent="0.2">
      <c r="I2" s="13" t="s">
        <v>47</v>
      </c>
      <c r="J2" s="14" t="s">
        <v>48</v>
      </c>
    </row>
    <row r="3" spans="1:16" x14ac:dyDescent="0.2">
      <c r="A3" s="15" t="s">
        <v>49</v>
      </c>
      <c r="I3" s="13" t="s">
        <v>50</v>
      </c>
      <c r="J3" s="14" t="s">
        <v>51</v>
      </c>
    </row>
    <row r="4" spans="1:16" x14ac:dyDescent="0.2">
      <c r="I4" s="13" t="s">
        <v>52</v>
      </c>
      <c r="J4" s="14" t="s">
        <v>51</v>
      </c>
    </row>
    <row r="5" spans="1:16" ht="13.5" thickBot="1" x14ac:dyDescent="0.25">
      <c r="I5" s="16" t="s">
        <v>53</v>
      </c>
      <c r="J5" s="17" t="s">
        <v>54</v>
      </c>
    </row>
    <row r="10" spans="1:16" ht="13.5" thickBot="1" x14ac:dyDescent="0.25"/>
    <row r="11" spans="1:16" ht="12.75" customHeight="1" thickBot="1" x14ac:dyDescent="0.25">
      <c r="A11" s="2" t="str">
        <f>P11</f>
        <v>IBVS 3629 </v>
      </c>
      <c r="B11" s="1" t="str">
        <f>IF(H11=INT(H11),"I","II")</f>
        <v>II</v>
      </c>
      <c r="C11" s="2">
        <f>1*G11</f>
        <v>46230.940999999999</v>
      </c>
      <c r="D11" s="3" t="str">
        <f>VLOOKUP(F11,I$1:J$5,2,FALSE)</f>
        <v>vis</v>
      </c>
      <c r="E11" s="18">
        <f>VLOOKUP(C11,Active!C$21:E$973,3,FALSE)</f>
        <v>-1887.501246009497</v>
      </c>
      <c r="F11" s="1" t="s">
        <v>53</v>
      </c>
      <c r="G11" s="3" t="str">
        <f>MID(I11,3,LEN(I11)-3)</f>
        <v>46230.941</v>
      </c>
      <c r="H11" s="2">
        <f>1*K11</f>
        <v>-1887.5</v>
      </c>
      <c r="I11" s="19" t="s">
        <v>61</v>
      </c>
      <c r="J11" s="20" t="s">
        <v>62</v>
      </c>
      <c r="K11" s="19">
        <v>-1887.5</v>
      </c>
      <c r="L11" s="19" t="s">
        <v>63</v>
      </c>
      <c r="M11" s="20" t="s">
        <v>64</v>
      </c>
      <c r="N11" s="20" t="s">
        <v>65</v>
      </c>
      <c r="O11" s="21" t="s">
        <v>66</v>
      </c>
      <c r="P11" s="22" t="s">
        <v>67</v>
      </c>
    </row>
    <row r="12" spans="1:16" ht="12.75" customHeight="1" thickBot="1" x14ac:dyDescent="0.25">
      <c r="A12" s="2" t="str">
        <f>P12</f>
        <v>IBVS 3629 </v>
      </c>
      <c r="B12" s="1" t="str">
        <f>IF(H12=INT(H12),"I","II")</f>
        <v>I</v>
      </c>
      <c r="C12" s="2">
        <f>1*G12</f>
        <v>46232.612500000003</v>
      </c>
      <c r="D12" s="3" t="str">
        <f>VLOOKUP(F12,I$1:J$5,2,FALSE)</f>
        <v>vis</v>
      </c>
      <c r="E12" s="18">
        <f>VLOOKUP(C12,Active!C$21:E$973,3,FALSE)</f>
        <v>-1886.9980252612302</v>
      </c>
      <c r="F12" s="1" t="s">
        <v>53</v>
      </c>
      <c r="G12" s="3" t="str">
        <f>MID(I12,3,LEN(I12)-3)</f>
        <v>46232.6125</v>
      </c>
      <c r="H12" s="2">
        <f>1*K12</f>
        <v>-1887</v>
      </c>
      <c r="I12" s="19" t="s">
        <v>68</v>
      </c>
      <c r="J12" s="20" t="s">
        <v>69</v>
      </c>
      <c r="K12" s="19">
        <v>-1887</v>
      </c>
      <c r="L12" s="19" t="s">
        <v>70</v>
      </c>
      <c r="M12" s="20" t="s">
        <v>64</v>
      </c>
      <c r="N12" s="20" t="s">
        <v>65</v>
      </c>
      <c r="O12" s="21" t="s">
        <v>66</v>
      </c>
      <c r="P12" s="22" t="s">
        <v>67</v>
      </c>
    </row>
    <row r="13" spans="1:16" ht="12.75" customHeight="1" thickBot="1" x14ac:dyDescent="0.25">
      <c r="A13" s="2" t="str">
        <f>P13</f>
        <v>IBVS 3629 </v>
      </c>
      <c r="B13" s="1" t="str">
        <f>IF(H13=INT(H13),"I","II")</f>
        <v>II</v>
      </c>
      <c r="C13" s="2">
        <f>1*G13</f>
        <v>48067.789400000001</v>
      </c>
      <c r="D13" s="3" t="str">
        <f>VLOOKUP(F13,I$1:J$5,2,FALSE)</f>
        <v>vis</v>
      </c>
      <c r="E13" s="18">
        <f>VLOOKUP(C13,Active!C$21:E$973,3,FALSE)</f>
        <v>-1334.5008114904977</v>
      </c>
      <c r="F13" s="1" t="s">
        <v>53</v>
      </c>
      <c r="G13" s="3" t="str">
        <f>MID(I13,3,LEN(I13)-3)</f>
        <v>48067.7894</v>
      </c>
      <c r="H13" s="2">
        <f>1*K13</f>
        <v>-1334.5</v>
      </c>
      <c r="I13" s="19" t="s">
        <v>71</v>
      </c>
      <c r="J13" s="20" t="s">
        <v>72</v>
      </c>
      <c r="K13" s="19">
        <v>-1334.5</v>
      </c>
      <c r="L13" s="19" t="s">
        <v>73</v>
      </c>
      <c r="M13" s="20" t="s">
        <v>64</v>
      </c>
      <c r="N13" s="20" t="s">
        <v>65</v>
      </c>
      <c r="O13" s="21" t="s">
        <v>74</v>
      </c>
      <c r="P13" s="22" t="s">
        <v>67</v>
      </c>
    </row>
    <row r="14" spans="1:16" ht="12.75" customHeight="1" thickBot="1" x14ac:dyDescent="0.25">
      <c r="A14" s="2" t="str">
        <f>P14</f>
        <v>IBVS 3805 </v>
      </c>
      <c r="B14" s="1" t="str">
        <f>IF(H14=INT(H14),"I","II")</f>
        <v>I</v>
      </c>
      <c r="C14" s="2">
        <f>1*G14</f>
        <v>48753.713000000003</v>
      </c>
      <c r="D14" s="3" t="str">
        <f>VLOOKUP(F14,I$1:J$5,2,FALSE)</f>
        <v>vis</v>
      </c>
      <c r="E14" s="18">
        <f>VLOOKUP(C14,Active!C$21:E$973,3,FALSE)</f>
        <v>-1127.9970799648929</v>
      </c>
      <c r="F14" s="1" t="s">
        <v>53</v>
      </c>
      <c r="G14" s="3" t="str">
        <f>MID(I14,3,LEN(I14)-3)</f>
        <v>48753.7130</v>
      </c>
      <c r="H14" s="2">
        <f>1*K14</f>
        <v>-1128</v>
      </c>
      <c r="I14" s="19" t="s">
        <v>75</v>
      </c>
      <c r="J14" s="20" t="s">
        <v>76</v>
      </c>
      <c r="K14" s="19">
        <v>-1128</v>
      </c>
      <c r="L14" s="19" t="s">
        <v>77</v>
      </c>
      <c r="M14" s="20" t="s">
        <v>64</v>
      </c>
      <c r="N14" s="20" t="s">
        <v>65</v>
      </c>
      <c r="O14" s="21" t="s">
        <v>78</v>
      </c>
      <c r="P14" s="22" t="s">
        <v>79</v>
      </c>
    </row>
    <row r="15" spans="1:16" ht="12.75" customHeight="1" thickBot="1" x14ac:dyDescent="0.25">
      <c r="A15" s="2" t="str">
        <f>P15</f>
        <v> AAP 185.121 </v>
      </c>
      <c r="B15" s="1" t="str">
        <f>IF(H15=INT(H15),"I","II")</f>
        <v>I</v>
      </c>
      <c r="C15" s="2">
        <f>1*G15</f>
        <v>45937</v>
      </c>
      <c r="D15" s="3" t="str">
        <f>VLOOKUP(F15,I$1:J$5,2,FALSE)</f>
        <v>vis</v>
      </c>
      <c r="E15" s="18">
        <f>VLOOKUP(C15,Active!C$21:E$973,3,FALSE)</f>
        <v>-1975.9949402756913</v>
      </c>
      <c r="F15" s="1" t="s">
        <v>53</v>
      </c>
      <c r="G15" s="3" t="str">
        <f>MID(I15,3,LEN(I15)-3)</f>
        <v>45937.00</v>
      </c>
      <c r="H15" s="2">
        <f>1*K15</f>
        <v>-1976</v>
      </c>
      <c r="I15" s="19" t="s">
        <v>55</v>
      </c>
      <c r="J15" s="20" t="s">
        <v>56</v>
      </c>
      <c r="K15" s="19">
        <v>-1976</v>
      </c>
      <c r="L15" s="19" t="s">
        <v>57</v>
      </c>
      <c r="M15" s="20" t="s">
        <v>58</v>
      </c>
      <c r="N15" s="20"/>
      <c r="O15" s="21" t="s">
        <v>59</v>
      </c>
      <c r="P15" s="21" t="s">
        <v>60</v>
      </c>
    </row>
    <row r="16" spans="1:16" x14ac:dyDescent="0.2">
      <c r="B16" s="1"/>
      <c r="F16" s="1"/>
    </row>
    <row r="17" spans="2:6" x14ac:dyDescent="0.2">
      <c r="B17" s="1"/>
      <c r="F17" s="1"/>
    </row>
    <row r="18" spans="2:6" x14ac:dyDescent="0.2">
      <c r="B18" s="1"/>
      <c r="F18" s="1"/>
    </row>
    <row r="19" spans="2:6" x14ac:dyDescent="0.2">
      <c r="B19" s="1"/>
      <c r="F19" s="1"/>
    </row>
    <row r="20" spans="2:6" x14ac:dyDescent="0.2">
      <c r="B20" s="1"/>
      <c r="F20" s="1"/>
    </row>
    <row r="21" spans="2:6" x14ac:dyDescent="0.2">
      <c r="B21" s="1"/>
      <c r="F21" s="1"/>
    </row>
    <row r="22" spans="2:6" x14ac:dyDescent="0.2">
      <c r="B22" s="1"/>
      <c r="F22" s="1"/>
    </row>
    <row r="23" spans="2:6" x14ac:dyDescent="0.2">
      <c r="B23" s="1"/>
      <c r="F23" s="1"/>
    </row>
    <row r="24" spans="2:6" x14ac:dyDescent="0.2">
      <c r="B24" s="1"/>
      <c r="F24" s="1"/>
    </row>
    <row r="25" spans="2:6" x14ac:dyDescent="0.2">
      <c r="B25" s="1"/>
      <c r="F25" s="1"/>
    </row>
    <row r="26" spans="2:6" x14ac:dyDescent="0.2">
      <c r="B26" s="1"/>
      <c r="F26" s="1"/>
    </row>
    <row r="27" spans="2:6" x14ac:dyDescent="0.2">
      <c r="B27" s="1"/>
      <c r="F27" s="1"/>
    </row>
    <row r="28" spans="2:6" x14ac:dyDescent="0.2">
      <c r="B28" s="1"/>
      <c r="F28" s="1"/>
    </row>
    <row r="29" spans="2:6" x14ac:dyDescent="0.2">
      <c r="B29" s="1"/>
      <c r="F29" s="1"/>
    </row>
    <row r="30" spans="2:6" x14ac:dyDescent="0.2">
      <c r="B30" s="1"/>
      <c r="F30" s="1"/>
    </row>
    <row r="31" spans="2:6" x14ac:dyDescent="0.2">
      <c r="B31" s="1"/>
      <c r="F31" s="1"/>
    </row>
    <row r="32" spans="2: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</sheetData>
  <phoneticPr fontId="7" type="noConversion"/>
  <hyperlinks>
    <hyperlink ref="P11" r:id="rId1" display="http://www.konkoly.hu/cgi-bin/IBVS?3629"/>
    <hyperlink ref="P12" r:id="rId2" display="http://www.konkoly.hu/cgi-bin/IBVS?3629"/>
    <hyperlink ref="P13" r:id="rId3" display="http://www.konkoly.hu/cgi-bin/IBVS?3629"/>
    <hyperlink ref="P14" r:id="rId4" display="http://www.konkoly.hu/cgi-bin/IBVS?380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2024-03-05T06:58:46Z</dcterms:modified>
</cp:coreProperties>
</file>