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D76A2B57-12B7-4F7E-B334-D49D7712932D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Q22" i="1"/>
  <c r="Q23" i="1"/>
  <c r="Q24" i="1"/>
  <c r="Q25" i="1"/>
  <c r="F11" i="1"/>
  <c r="C21" i="1"/>
  <c r="E21" i="1"/>
  <c r="F21" i="1"/>
  <c r="A21" i="1"/>
  <c r="H20" i="1"/>
  <c r="G11" i="1"/>
  <c r="E14" i="1"/>
  <c r="Q21" i="1"/>
  <c r="G21" i="1"/>
  <c r="C17" i="1"/>
  <c r="H21" i="1"/>
  <c r="C12" i="1"/>
  <c r="C16" i="1" l="1"/>
  <c r="D18" i="1" s="1"/>
  <c r="E15" i="1"/>
  <c r="C11" i="1"/>
  <c r="O22" i="1" l="1"/>
  <c r="S22" i="1" s="1"/>
  <c r="O23" i="1"/>
  <c r="S23" i="1" s="1"/>
  <c r="O24" i="1"/>
  <c r="S24" i="1" s="1"/>
  <c r="O25" i="1"/>
  <c r="S25" i="1" s="1"/>
  <c r="C15" i="1"/>
  <c r="O21" i="1"/>
  <c r="S21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<sst xmlns="http://schemas.openxmlformats.org/spreadsheetml/2006/main" count="61" uniqueCount="54">
  <si>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</si>
  <si>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</si>
  <si>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</si>
  <si>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</si>
  <si>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</si>
  <si>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</si>
  <si>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</si>
  <si>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</si>
  <si>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</si>
  <si>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</si>
  <si>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</si>
  <si>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</si>
  <si>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</si>
  <si>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</si>
  <si>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</si>
  <si>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</si>
  <si>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</si>
  <si>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</si>
  <si>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</si>
  <si>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</si>
  <si>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</si>
  <si>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</si>
  <si>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</si>
  <si>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</si>
  <si>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</si>
  <si>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</si>
  <si>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</si>
  <si>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</si>
  <si>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</si>
  <si>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</si>
  <si>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</si>
  <si>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</si>
  <si>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</si>
  <si>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</si>
  <si>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</si>
  <si>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</si>
  <si>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</si>
  <si>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</si>
  <si>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</si>
  <si>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</si>
  <si>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</si>
  <si>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</si>
  <si>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G4918-1155</t>
  </si>
  <si>
    <t>G4918-1155_Sex.xls</t>
  </si>
  <si>
    <t>ED</t>
  </si>
  <si>
    <t>Sex</t>
  </si>
  <si>
    <t>VSX</t>
  </si>
  <si>
    <t>IBVS 5894</t>
  </si>
  <si>
    <t>I</t>
  </si>
  <si>
    <t>IBVS 5992</t>
  </si>
  <si>
    <t>IBVS 6029</t>
  </si>
  <si>
    <t>Period confirmed by ToMcat 2014-01-31</t>
  </si>
  <si>
    <t>CC Sex / GSC 4918-1155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</si>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</sst>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6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CC</a:t>
            </a:r>
            <a:r>
              <a:rPr lang="en-AU" baseline="0"/>
              <a:t> Sex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1.2999999999999999E-3</c:v>
                  </c:pt>
                  <c:pt idx="3">
                    <c:v>2.9999999999999997E-4</c:v>
                  </c:pt>
                  <c:pt idx="4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1.2999999999999999E-3</c:v>
                  </c:pt>
                  <c:pt idx="3">
                    <c:v>2.9999999999999997E-4</c:v>
                  </c:pt>
                  <c:pt idx="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372</c:v>
                </c:pt>
                <c:pt idx="2">
                  <c:v>369</c:v>
                </c:pt>
                <c:pt idx="3">
                  <c:v>525</c:v>
                </c:pt>
                <c:pt idx="4">
                  <c:v>605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EBC-45D7-9B49-760A8D472E5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1.2999999999999999E-3</c:v>
                  </c:pt>
                  <c:pt idx="3">
                    <c:v>2.9999999999999997E-4</c:v>
                  </c:pt>
                  <c:pt idx="4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1.2999999999999999E-3</c:v>
                  </c:pt>
                  <c:pt idx="3">
                    <c:v>2.9999999999999997E-4</c:v>
                  </c:pt>
                  <c:pt idx="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372</c:v>
                </c:pt>
                <c:pt idx="2">
                  <c:v>369</c:v>
                </c:pt>
                <c:pt idx="3">
                  <c:v>525</c:v>
                </c:pt>
                <c:pt idx="4">
                  <c:v>605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-8.3119999908376485E-3</c:v>
                </c:pt>
                <c:pt idx="2">
                  <c:v>-1.3373999987379648E-2</c:v>
                </c:pt>
                <c:pt idx="3">
                  <c:v>-1.1549999988346826E-2</c:v>
                </c:pt>
                <c:pt idx="4">
                  <c:v>-1.6299999915645458E-3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EBC-45D7-9B49-760A8D472E5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1.2999999999999999E-3</c:v>
                  </c:pt>
                  <c:pt idx="3">
                    <c:v>2.9999999999999997E-4</c:v>
                  </c:pt>
                  <c:pt idx="4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1.2999999999999999E-3</c:v>
                  </c:pt>
                  <c:pt idx="3">
                    <c:v>2.9999999999999997E-4</c:v>
                  </c:pt>
                  <c:pt idx="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372</c:v>
                </c:pt>
                <c:pt idx="2">
                  <c:v>369</c:v>
                </c:pt>
                <c:pt idx="3">
                  <c:v>525</c:v>
                </c:pt>
                <c:pt idx="4">
                  <c:v>605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EBC-45D7-9B49-760A8D472E5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1.2999999999999999E-3</c:v>
                  </c:pt>
                  <c:pt idx="3">
                    <c:v>2.9999999999999997E-4</c:v>
                  </c:pt>
                  <c:pt idx="4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1.2999999999999999E-3</c:v>
                  </c:pt>
                  <c:pt idx="3">
                    <c:v>2.9999999999999997E-4</c:v>
                  </c:pt>
                  <c:pt idx="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372</c:v>
                </c:pt>
                <c:pt idx="2">
                  <c:v>369</c:v>
                </c:pt>
                <c:pt idx="3">
                  <c:v>525</c:v>
                </c:pt>
                <c:pt idx="4">
                  <c:v>605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EBC-45D7-9B49-760A8D472E5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1.2999999999999999E-3</c:v>
                  </c:pt>
                  <c:pt idx="3">
                    <c:v>2.9999999999999997E-4</c:v>
                  </c:pt>
                  <c:pt idx="4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1.2999999999999999E-3</c:v>
                  </c:pt>
                  <c:pt idx="3">
                    <c:v>2.9999999999999997E-4</c:v>
                  </c:pt>
                  <c:pt idx="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372</c:v>
                </c:pt>
                <c:pt idx="2">
                  <c:v>369</c:v>
                </c:pt>
                <c:pt idx="3">
                  <c:v>525</c:v>
                </c:pt>
                <c:pt idx="4">
                  <c:v>605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EBC-45D7-9B49-760A8D472E5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1.2999999999999999E-3</c:v>
                  </c:pt>
                  <c:pt idx="3">
                    <c:v>2.9999999999999997E-4</c:v>
                  </c:pt>
                  <c:pt idx="4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1.2999999999999999E-3</c:v>
                  </c:pt>
                  <c:pt idx="3">
                    <c:v>2.9999999999999997E-4</c:v>
                  </c:pt>
                  <c:pt idx="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372</c:v>
                </c:pt>
                <c:pt idx="2">
                  <c:v>369</c:v>
                </c:pt>
                <c:pt idx="3">
                  <c:v>525</c:v>
                </c:pt>
                <c:pt idx="4">
                  <c:v>605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EBC-45D7-9B49-760A8D472E5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1.2999999999999999E-3</c:v>
                  </c:pt>
                  <c:pt idx="3">
                    <c:v>2.9999999999999997E-4</c:v>
                  </c:pt>
                  <c:pt idx="4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1.2999999999999999E-3</c:v>
                  </c:pt>
                  <c:pt idx="3">
                    <c:v>2.9999999999999997E-4</c:v>
                  </c:pt>
                  <c:pt idx="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372</c:v>
                </c:pt>
                <c:pt idx="2">
                  <c:v>369</c:v>
                </c:pt>
                <c:pt idx="3">
                  <c:v>525</c:v>
                </c:pt>
                <c:pt idx="4">
                  <c:v>605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EBC-45D7-9B49-760A8D472E5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372</c:v>
                </c:pt>
                <c:pt idx="2">
                  <c:v>369</c:v>
                </c:pt>
                <c:pt idx="3">
                  <c:v>525</c:v>
                </c:pt>
                <c:pt idx="4">
                  <c:v>605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-3.4573048684231516E-3</c:v>
                </c:pt>
                <c:pt idx="1">
                  <c:v>-6.9525293094476323E-3</c:v>
                </c:pt>
                <c:pt idx="2">
                  <c:v>-6.9243420155684025E-3</c:v>
                </c:pt>
                <c:pt idx="3">
                  <c:v>-8.3900812972883473E-3</c:v>
                </c:pt>
                <c:pt idx="4">
                  <c:v>-9.1417424674011382E-3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EBC-45D7-9B49-760A8D472E5A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372</c:v>
                </c:pt>
                <c:pt idx="2">
                  <c:v>369</c:v>
                </c:pt>
                <c:pt idx="3">
                  <c:v>525</c:v>
                </c:pt>
                <c:pt idx="4">
                  <c:v>605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EBC-45D7-9B49-760A8D472E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5688872"/>
        <c:axId val="1"/>
      </c:scatterChart>
      <c:valAx>
        <c:axId val="8856888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23308270676692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56888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052631578947367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42B89DC-5037-A015-F33B-56399965CA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6" customFormat="1" ht="20.25" x14ac:dyDescent="0.2">
      <c r="A1" s="34" t="s">
        <v>52</v>
      </c>
      <c r="E1" s="6" t="s">
        <v>43</v>
      </c>
    </row>
    <row r="2" spans="1:7" s="6" customFormat="1" ht="12.95" customHeight="1" x14ac:dyDescent="0.2">
      <c r="A2" s="6" t="s">
        <v>24</v>
      </c>
      <c r="B2" s="6" t="s">
        <v>44</v>
      </c>
      <c r="C2" s="7" t="s">
        <v>41</v>
      </c>
      <c r="D2" s="8" t="s">
        <v>45</v>
      </c>
      <c r="E2" s="3" t="s">
        <v>42</v>
      </c>
      <c r="F2" s="6" t="e">
        <v>#N/A</v>
      </c>
    </row>
    <row r="3" spans="1:7" s="6" customFormat="1" ht="12.95" customHeight="1" thickBot="1" x14ac:dyDescent="0.25"/>
    <row r="4" spans="1:7" s="6" customFormat="1" ht="12.95" customHeight="1" thickTop="1" thickBot="1" x14ac:dyDescent="0.25">
      <c r="A4" s="9" t="s">
        <v>0</v>
      </c>
      <c r="C4" s="10" t="s">
        <v>40</v>
      </c>
      <c r="D4" s="11" t="s">
        <v>40</v>
      </c>
    </row>
    <row r="5" spans="1:7" s="6" customFormat="1" ht="12.95" customHeight="1" x14ac:dyDescent="0.2"/>
    <row r="6" spans="1:7" s="6" customFormat="1" ht="12.95" customHeight="1" x14ac:dyDescent="0.2">
      <c r="A6" s="9" t="s">
        <v>1</v>
      </c>
      <c r="C6" s="6" t="s">
        <v>51</v>
      </c>
    </row>
    <row r="7" spans="1:7" s="6" customFormat="1" ht="12.95" customHeight="1" x14ac:dyDescent="0.2">
      <c r="A7" s="6" t="s">
        <v>2</v>
      </c>
      <c r="C7" s="35">
        <v>53115.641999999993</v>
      </c>
      <c r="D7" s="13" t="s">
        <v>46</v>
      </c>
    </row>
    <row r="8" spans="1:7" s="6" customFormat="1" ht="12.95" customHeight="1" x14ac:dyDescent="0.2">
      <c r="A8" s="6" t="s">
        <v>3</v>
      </c>
      <c r="C8" s="35">
        <v>4.6996460000000004</v>
      </c>
      <c r="D8" s="13" t="s">
        <v>46</v>
      </c>
    </row>
    <row r="9" spans="1:7" s="6" customFormat="1" ht="12.95" customHeight="1" x14ac:dyDescent="0.2">
      <c r="A9" s="14" t="s">
        <v>30</v>
      </c>
      <c r="C9" s="15">
        <v>-9.5</v>
      </c>
      <c r="D9" s="6" t="s">
        <v>31</v>
      </c>
    </row>
    <row r="10" spans="1:7" s="6" customFormat="1" ht="12.95" customHeight="1" thickBot="1" x14ac:dyDescent="0.25">
      <c r="C10" s="16" t="s">
        <v>20</v>
      </c>
      <c r="D10" s="16" t="s">
        <v>21</v>
      </c>
    </row>
    <row r="11" spans="1:7" s="6" customFormat="1" ht="12.95" customHeight="1" x14ac:dyDescent="0.2">
      <c r="A11" s="6" t="s">
        <v>15</v>
      </c>
      <c r="C11" s="17">
        <f ca="1">INTERCEPT(INDIRECT($G$11):G992,INDIRECT($F$11):F992)</f>
        <v>-3.4573048684231516E-3</v>
      </c>
      <c r="D11" s="8"/>
      <c r="F11" s="18" t="str">
        <f>"F"&amp;E19</f>
        <v>F21</v>
      </c>
      <c r="G11" s="17" t="str">
        <f>"G"&amp;E19</f>
        <v>G21</v>
      </c>
    </row>
    <row r="12" spans="1:7" s="6" customFormat="1" ht="12.95" customHeight="1" x14ac:dyDescent="0.2">
      <c r="A12" s="6" t="s">
        <v>16</v>
      </c>
      <c r="C12" s="17">
        <f ca="1">SLOPE(INDIRECT($G$11):G992,INDIRECT($F$11):F992)</f>
        <v>-9.3957646264098946E-6</v>
      </c>
      <c r="D12" s="8"/>
    </row>
    <row r="13" spans="1:7" s="6" customFormat="1" ht="12.95" customHeight="1" x14ac:dyDescent="0.2">
      <c r="A13" s="6" t="s">
        <v>19</v>
      </c>
      <c r="C13" s="8" t="s">
        <v>13</v>
      </c>
      <c r="D13" s="19" t="s">
        <v>37</v>
      </c>
      <c r="E13" s="15">
        <v>1</v>
      </c>
    </row>
    <row r="14" spans="1:7" s="6" customFormat="1" ht="12.95" customHeight="1" x14ac:dyDescent="0.2">
      <c r="D14" s="19" t="s">
        <v>32</v>
      </c>
      <c r="E14" s="20">
        <f ca="1">NOW()+15018.5+$C$9/24</f>
        <v>60375.766029629631</v>
      </c>
    </row>
    <row r="15" spans="1:7" s="6" customFormat="1" ht="12.95" customHeight="1" x14ac:dyDescent="0.2">
      <c r="A15" s="21" t="s">
        <v>17</v>
      </c>
      <c r="C15" s="22">
        <f ca="1">(C7+C11)+(C8+C12)*INT(MAX(F21:F3533))</f>
        <v>55958.918688257523</v>
      </c>
      <c r="D15" s="19" t="s">
        <v>38</v>
      </c>
      <c r="E15" s="20">
        <f ca="1">ROUND(2*(E14-$C$7)/$C$8,0)/2+E13</f>
        <v>1546</v>
      </c>
    </row>
    <row r="16" spans="1:7" s="6" customFormat="1" ht="12.95" customHeight="1" x14ac:dyDescent="0.2">
      <c r="A16" s="9" t="s">
        <v>4</v>
      </c>
      <c r="C16" s="23">
        <f ca="1">+C8+C12</f>
        <v>4.6996366042353737</v>
      </c>
      <c r="D16" s="19" t="s">
        <v>39</v>
      </c>
      <c r="E16" s="17">
        <f ca="1">ROUND(2*(E14-$C$15)/$C$16,0)/2+E13</f>
        <v>941</v>
      </c>
    </row>
    <row r="17" spans="1:19" s="6" customFormat="1" ht="12.95" customHeight="1" thickBot="1" x14ac:dyDescent="0.25">
      <c r="A17" s="19" t="s">
        <v>29</v>
      </c>
      <c r="C17" s="6">
        <f>COUNT(C21:C2191)</f>
        <v>5</v>
      </c>
      <c r="D17" s="19" t="s">
        <v>33</v>
      </c>
      <c r="E17" s="24">
        <f ca="1">+$C$15+$C$16*E16-15018.5-$C$9/24</f>
        <v>45363.172566176348</v>
      </c>
    </row>
    <row r="18" spans="1:19" s="6" customFormat="1" ht="12.95" customHeight="1" thickTop="1" thickBot="1" x14ac:dyDescent="0.25">
      <c r="A18" s="9" t="s">
        <v>5</v>
      </c>
      <c r="C18" s="25">
        <f ca="1">+C15</f>
        <v>55958.918688257523</v>
      </c>
      <c r="D18" s="26">
        <f ca="1">+C16</f>
        <v>4.6996366042353737</v>
      </c>
      <c r="E18" s="27" t="s">
        <v>34</v>
      </c>
    </row>
    <row r="19" spans="1:19" s="6" customFormat="1" ht="12.95" customHeight="1" thickTop="1" x14ac:dyDescent="0.2">
      <c r="A19" s="28" t="s">
        <v>35</v>
      </c>
      <c r="E19" s="29">
        <v>21</v>
      </c>
      <c r="S19" s="6">
        <f ca="1">SQRT(SUM(S21:S50)/(COUNT(S21:S50)-1))</f>
        <v>5.5183912193119793E-3</v>
      </c>
    </row>
    <row r="20" spans="1:19" s="6" customFormat="1" ht="12.95" customHeight="1" thickBot="1" x14ac:dyDescent="0.25">
      <c r="A20" s="16" t="s">
        <v>6</v>
      </c>
      <c r="B20" s="16" t="s">
        <v>7</v>
      </c>
      <c r="C20" s="16" t="s">
        <v>8</v>
      </c>
      <c r="D20" s="16" t="s">
        <v>12</v>
      </c>
      <c r="E20" s="16" t="s">
        <v>9</v>
      </c>
      <c r="F20" s="16" t="s">
        <v>10</v>
      </c>
      <c r="G20" s="16" t="s">
        <v>11</v>
      </c>
      <c r="H20" s="30" t="str">
        <f>A21</f>
        <v>VSX</v>
      </c>
      <c r="I20" s="30" t="s">
        <v>53</v>
      </c>
      <c r="J20" s="30" t="s">
        <v>18</v>
      </c>
      <c r="K20" s="30" t="s">
        <v>25</v>
      </c>
      <c r="L20" s="30" t="s">
        <v>26</v>
      </c>
      <c r="M20" s="30" t="s">
        <v>27</v>
      </c>
      <c r="N20" s="30" t="s">
        <v>28</v>
      </c>
      <c r="O20" s="30" t="s">
        <v>23</v>
      </c>
      <c r="P20" s="31" t="s">
        <v>22</v>
      </c>
      <c r="Q20" s="16" t="s">
        <v>14</v>
      </c>
      <c r="R20" s="32" t="s">
        <v>36</v>
      </c>
    </row>
    <row r="21" spans="1:19" s="6" customFormat="1" ht="12.95" customHeight="1" x14ac:dyDescent="0.2">
      <c r="A21" s="6" t="str">
        <f>D7</f>
        <v>VSX</v>
      </c>
      <c r="C21" s="12">
        <f>C$7</f>
        <v>53115.641999999993</v>
      </c>
      <c r="D21" s="12" t="s">
        <v>13</v>
      </c>
      <c r="E21" s="6">
        <f>+(C21-C$7)/C$8</f>
        <v>0</v>
      </c>
      <c r="F21" s="6">
        <f>ROUND(2*E21,0)/2</f>
        <v>0</v>
      </c>
      <c r="G21" s="6">
        <f>+C21-(C$7+F21*C$8)</f>
        <v>0</v>
      </c>
      <c r="H21" s="6">
        <f>+G21</f>
        <v>0</v>
      </c>
      <c r="O21" s="6">
        <f ca="1">+C$11+C$12*$F21</f>
        <v>-3.4573048684231516E-3</v>
      </c>
      <c r="Q21" s="33">
        <f>+C21-15018.5</f>
        <v>38097.141999999993</v>
      </c>
      <c r="S21" s="6">
        <f ca="1">+(O21-G21)^2</f>
        <v>1.1952956953222426E-5</v>
      </c>
    </row>
    <row r="22" spans="1:19" s="6" customFormat="1" ht="12.95" customHeight="1" x14ac:dyDescent="0.2">
      <c r="A22" s="4" t="s">
        <v>47</v>
      </c>
      <c r="B22" s="5" t="s">
        <v>48</v>
      </c>
      <c r="C22" s="4">
        <v>54863.902000000002</v>
      </c>
      <c r="D22" s="4">
        <v>2.0000000000000001E-4</v>
      </c>
      <c r="E22" s="6">
        <f>+(C22-C$7)/C$8</f>
        <v>371.99823135615088</v>
      </c>
      <c r="F22" s="6">
        <f>ROUND(2*E22,0)/2</f>
        <v>372</v>
      </c>
      <c r="G22" s="6">
        <f>+C22-(C$7+F22*C$8)</f>
        <v>-8.3119999908376485E-3</v>
      </c>
      <c r="I22" s="6">
        <f>+G22</f>
        <v>-8.3119999908376485E-3</v>
      </c>
      <c r="O22" s="6">
        <f ca="1">+C$11+C$12*$F22</f>
        <v>-6.9525293094476323E-3</v>
      </c>
      <c r="Q22" s="33">
        <f>+C22-15018.5</f>
        <v>39845.402000000002</v>
      </c>
      <c r="S22" s="6">
        <f ca="1">+(O22-G22)^2</f>
        <v>1.848160533559035E-6</v>
      </c>
    </row>
    <row r="23" spans="1:19" s="6" customFormat="1" ht="12.95" customHeight="1" x14ac:dyDescent="0.2">
      <c r="A23" s="4" t="s">
        <v>47</v>
      </c>
      <c r="B23" s="5" t="s">
        <v>48</v>
      </c>
      <c r="C23" s="4">
        <v>54849.798000000003</v>
      </c>
      <c r="D23" s="4">
        <v>1.2999999999999999E-3</v>
      </c>
      <c r="E23" s="6">
        <f>+(C23-C$7)/C$8</f>
        <v>368.99715425374802</v>
      </c>
      <c r="F23" s="6">
        <f>ROUND(2*E23,0)/2</f>
        <v>369</v>
      </c>
      <c r="G23" s="6">
        <f>+C23-(C$7+F23*C$8)</f>
        <v>-1.3373999987379648E-2</v>
      </c>
      <c r="I23" s="6">
        <f>+G23</f>
        <v>-1.3373999987379648E-2</v>
      </c>
      <c r="O23" s="6">
        <f ca="1">+C$11+C$12*$F23</f>
        <v>-6.9243420155684025E-3</v>
      </c>
      <c r="Q23" s="33">
        <f>+C23-15018.5</f>
        <v>39831.298000000003</v>
      </c>
      <c r="S23" s="6">
        <f ca="1">+(O23-G23)^2</f>
        <v>4.1598087953348344E-5</v>
      </c>
    </row>
    <row r="24" spans="1:19" s="6" customFormat="1" ht="12.95" customHeight="1" x14ac:dyDescent="0.2">
      <c r="A24" s="4" t="s">
        <v>49</v>
      </c>
      <c r="B24" s="5" t="s">
        <v>48</v>
      </c>
      <c r="C24" s="4">
        <v>55582.944600000003</v>
      </c>
      <c r="D24" s="4">
        <v>2.9999999999999997E-4</v>
      </c>
      <c r="E24" s="6">
        <f>+(C24-C$7)/C$8</f>
        <v>524.99754236808678</v>
      </c>
      <c r="F24" s="6">
        <f>ROUND(2*E24,0)/2</f>
        <v>525</v>
      </c>
      <c r="G24" s="6">
        <f>+C24-(C$7+F24*C$8)</f>
        <v>-1.1549999988346826E-2</v>
      </c>
      <c r="I24" s="6">
        <f>+G24</f>
        <v>-1.1549999988346826E-2</v>
      </c>
      <c r="O24" s="6">
        <f ca="1">+C$11+C$12*$F24</f>
        <v>-8.3900812972883473E-3</v>
      </c>
      <c r="Q24" s="33">
        <f>+C24-15018.5</f>
        <v>40564.444600000003</v>
      </c>
      <c r="S24" s="6">
        <f ca="1">+(O24-G24)^2</f>
        <v>9.9850861341007302E-6</v>
      </c>
    </row>
    <row r="25" spans="1:19" s="6" customFormat="1" ht="12.95" customHeight="1" x14ac:dyDescent="0.2">
      <c r="A25" s="4" t="s">
        <v>50</v>
      </c>
      <c r="B25" s="5" t="s">
        <v>48</v>
      </c>
      <c r="C25" s="4">
        <v>55958.926200000002</v>
      </c>
      <c r="D25" s="4">
        <v>5.0000000000000001E-4</v>
      </c>
      <c r="E25" s="6">
        <f>+(C25-C$7)/C$8</f>
        <v>604.99965316536793</v>
      </c>
      <c r="F25" s="6">
        <f>ROUND(2*E25,0)/2</f>
        <v>605</v>
      </c>
      <c r="G25" s="6">
        <f>+C25-(C$7+F25*C$8)</f>
        <v>-1.6299999915645458E-3</v>
      </c>
      <c r="I25" s="6">
        <f>+G25</f>
        <v>-1.6299999915645458E-3</v>
      </c>
      <c r="O25" s="6">
        <f ca="1">+C$11+C$12*$F25</f>
        <v>-9.1417424674011382E-3</v>
      </c>
      <c r="Q25" s="33">
        <f>+C25-15018.5</f>
        <v>40940.426200000002</v>
      </c>
      <c r="S25" s="6">
        <f ca="1">+(O25-G25)^2</f>
        <v>5.6426275023287657E-5</v>
      </c>
    </row>
    <row r="26" spans="1:19" s="6" customFormat="1" ht="12.95" customHeight="1" x14ac:dyDescent="0.2">
      <c r="C26" s="12"/>
      <c r="D26" s="12"/>
      <c r="Q26" s="33"/>
    </row>
    <row r="27" spans="1:19" s="6" customFormat="1" ht="12.95" customHeight="1" x14ac:dyDescent="0.2">
      <c r="C27" s="12"/>
      <c r="D27" s="12"/>
      <c r="Q27" s="33"/>
    </row>
    <row r="28" spans="1:19" s="6" customFormat="1" ht="12.95" customHeight="1" x14ac:dyDescent="0.2">
      <c r="C28" s="12"/>
      <c r="D28" s="12"/>
      <c r="Q28" s="33"/>
    </row>
    <row r="29" spans="1:19" s="6" customFormat="1" ht="12.95" customHeight="1" x14ac:dyDescent="0.2">
      <c r="C29" s="12"/>
      <c r="D29" s="12"/>
      <c r="Q29" s="33"/>
    </row>
    <row r="30" spans="1:19" s="6" customFormat="1" ht="12.95" customHeight="1" x14ac:dyDescent="0.2">
      <c r="C30" s="12"/>
      <c r="D30" s="12"/>
      <c r="Q30" s="33"/>
    </row>
    <row r="31" spans="1:19" s="6" customFormat="1" ht="12.95" customHeight="1" x14ac:dyDescent="0.2">
      <c r="C31" s="12"/>
      <c r="D31" s="12"/>
      <c r="Q31" s="33"/>
    </row>
    <row r="32" spans="1:19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2024-03-06T05:23:05Z</dcterms:modified>
</cp:coreProperties>
</file>