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77B8EF6-1FF4-40DA-BBCF-DF324B04C5D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24" i="1"/>
  <c r="F24" i="1"/>
  <c r="G24" i="1"/>
  <c r="L24" i="1"/>
  <c r="C8" i="1"/>
  <c r="G11" i="1"/>
  <c r="F11" i="1"/>
  <c r="E22" i="1"/>
  <c r="F22" i="1"/>
  <c r="G22" i="1"/>
  <c r="I22" i="1"/>
  <c r="E23" i="1"/>
  <c r="F23" i="1"/>
  <c r="G23" i="1"/>
  <c r="I23" i="1"/>
  <c r="E25" i="1"/>
  <c r="F25" i="1"/>
  <c r="G25" i="1"/>
  <c r="J25" i="1"/>
  <c r="E26" i="1"/>
  <c r="F26" i="1"/>
  <c r="G26" i="1"/>
  <c r="J26" i="1"/>
  <c r="E27" i="1"/>
  <c r="F27" i="1"/>
  <c r="G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E21" i="1"/>
  <c r="F21" i="1"/>
  <c r="Q24" i="1"/>
  <c r="G19" i="2"/>
  <c r="C19" i="2"/>
  <c r="E19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8" i="2"/>
  <c r="C18" i="2"/>
  <c r="E18" i="2"/>
  <c r="G11" i="2"/>
  <c r="C11" i="2"/>
  <c r="E11" i="2"/>
  <c r="H19" i="2"/>
  <c r="B19" i="2"/>
  <c r="D19" i="2"/>
  <c r="A19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8" i="2"/>
  <c r="D18" i="2"/>
  <c r="B18" i="2"/>
  <c r="A18" i="2"/>
  <c r="H11" i="2"/>
  <c r="B11" i="2"/>
  <c r="D11" i="2"/>
  <c r="A11" i="2"/>
  <c r="K32" i="1"/>
  <c r="Q32" i="1"/>
  <c r="E14" i="1"/>
  <c r="E15" i="1" s="1"/>
  <c r="C17" i="1"/>
  <c r="Q31" i="1"/>
  <c r="Q30" i="1"/>
  <c r="Q28" i="1"/>
  <c r="Q29" i="1"/>
  <c r="Q26" i="1"/>
  <c r="Q25" i="1"/>
  <c r="J27" i="1"/>
  <c r="Q27" i="1"/>
  <c r="Q22" i="1"/>
  <c r="Q23" i="1"/>
  <c r="Q21" i="1"/>
  <c r="C12" i="1"/>
  <c r="C16" i="1" l="1"/>
  <c r="D18" i="1" s="1"/>
  <c r="C11" i="1"/>
  <c r="O25" i="1" l="1"/>
  <c r="O26" i="1"/>
  <c r="O22" i="1"/>
  <c r="O24" i="1"/>
  <c r="C15" i="1"/>
  <c r="O32" i="1"/>
  <c r="O29" i="1"/>
  <c r="O28" i="1"/>
  <c r="O31" i="1"/>
  <c r="O30" i="1"/>
  <c r="O23" i="1"/>
  <c r="O27" i="1"/>
  <c r="O21" i="1"/>
  <c r="C18" i="1" l="1"/>
  <c r="E16" i="1"/>
  <c r="E17" i="1" s="1"/>
</calcChain>
</file>

<file path=xl/sharedStrings.xml><?xml version="1.0" encoding="utf-8"?>
<sst xmlns="http://schemas.openxmlformats.org/spreadsheetml/2006/main" count="153" uniqueCount="112">
  <si>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</si>
  <si>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</si>
  <si>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</si>
  <si>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</si>
  <si>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</si>
  <si>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</si>
  <si>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</si>
  <si>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</si>
  <si>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</si>
  <si>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</si>
  <si>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</si>
  <si>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</si>
  <si>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</si>
  <si>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</si>
  <si>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</si>
  <si>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</si>
  <si>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</si>
  <si>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</si>
  <si>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</si>
  <si>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</si>
  <si>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</si>
  <si>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</si>
  <si>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</si>
  <si>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</si>
  <si>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</si>
  <si>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</si>
  <si>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</si>
  <si>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</si>
  <si>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</si>
  <si>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Bull.109</t>
  </si>
  <si>
    <t>B</t>
  </si>
  <si>
    <t>Blaettler E</t>
  </si>
  <si>
    <t>BBSAG Bull.113</t>
  </si>
  <si>
    <t>II</t>
  </si>
  <si>
    <t>BBSAG</t>
  </si>
  <si>
    <t>I</t>
  </si>
  <si>
    <t>IBVS 5263</t>
  </si>
  <si>
    <t>IBVS</t>
  </si>
  <si>
    <t>IBVS 5583</t>
  </si>
  <si>
    <t>EW/KW</t>
  </si>
  <si>
    <t># of data points:</t>
  </si>
  <si>
    <t>IBVS 5657</t>
  </si>
  <si>
    <t>IBVS 5731</t>
  </si>
  <si>
    <t>EI Sge / ??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</si>
  <si>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</si>
  <si>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</si>
  <si>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</si>
  <si>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</si>
  <si>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</si>
  <si>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</si>
  <si>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Add cycle</t>
  </si>
  <si>
    <t>Old Cycle</t>
  </si>
  <si>
    <t>Start of linear fit &gt;&gt;&gt;&gt;&gt;&gt;&gt;&gt;&gt;&gt;&gt;&gt;&gt;&gt;&gt;&gt;&gt;&gt;&gt;&gt;&gt;</t>
  </si>
  <si>
    <t>OEJV 0137</t>
  </si>
  <si>
    <t>OEJV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</si>
  <si>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</si>
  <si>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</si>
  <si>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</si>
  <si>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</si>
  <si>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</si>
  <si>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</si>
  <si>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</si>
  <si>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</si>
  <si>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</si>
  <si>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</si>
  <si>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</si>
  <si>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2449930.419 </t>
  </si>
  <si>
    <t> 31.07.1995 22:03 </t>
  </si>
  <si>
    <t> -0.062 </t>
  </si>
  <si>
    <t>E </t>
  </si>
  <si>
    <t>?</t>
  </si>
  <si>
    <t> R.Diethelm </t>
  </si>
  <si>
    <t> BBS 109 </t>
  </si>
  <si>
    <t>2450315.3697 </t>
  </si>
  <si>
    <t> 19.08.1996 20:52 </t>
  </si>
  <si>
    <t> -0.0588 </t>
  </si>
  <si>
    <t> BBS 113 </t>
  </si>
  <si>
    <t>2451378.3961 </t>
  </si>
  <si>
    <t> 18.07.1999 21:30 </t>
  </si>
  <si>
    <t> -0.0554 </t>
  </si>
  <si>
    <t> M.Zejda </t>
  </si>
  <si>
    <t>IBVS 5263 </t>
  </si>
  <si>
    <t>2451378.5884 </t>
  </si>
  <si>
    <t> 19.07.1999 02:07 </t>
  </si>
  <si>
    <t> -0.0572 </t>
  </si>
  <si>
    <t>2451394.5121 </t>
  </si>
  <si>
    <t> 04.08.1999 00:17 </t>
  </si>
  <si>
    <t> -0.0517 </t>
  </si>
  <si>
    <t>2452141.4987 </t>
  </si>
  <si>
    <t> 19.08.2001 23:58 </t>
  </si>
  <si>
    <t> -0.0543 </t>
  </si>
  <si>
    <t>R</t>
  </si>
  <si>
    <t>IBVS 5583 </t>
  </si>
  <si>
    <t>2453206.4546 </t>
  </si>
  <si>
    <t> 19.07.2004 22:54 </t>
  </si>
  <si>
    <t> -0.0626 </t>
  </si>
  <si>
    <t>o</t>
  </si>
  <si>
    <t> F.Agerer </t>
  </si>
  <si>
    <t>BAVM 173 </t>
  </si>
  <si>
    <t>2453565.3891 </t>
  </si>
  <si>
    <t> 13.07.2005 21:20 </t>
  </si>
  <si>
    <t> -0.0634 </t>
  </si>
  <si>
    <t>C </t>
  </si>
  <si>
    <t>-I</t>
  </si>
  <si>
    <t> Agerer </t>
  </si>
  <si>
    <t>BAVM 178 </t>
  </si>
  <si>
    <t>2455388.4054 </t>
  </si>
  <si>
    <t> 10.07.2010 21:43 </t>
  </si>
  <si>
    <t>48072.5</t>
  </si>
  <si>
    <t> -0.0656 </t>
  </si>
  <si>
    <t> V.Pribík </t>
  </si>
  <si>
    <t>OEJV 0137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</si>
</sst>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4">
    <xf numFmtId="0" fontId="0" fillId="0" borderId="0" xfId="0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9" fillId="0" borderId="0" xfId="0" applyNumberFormat="1" applyFont="1" applyAlignment="1">
      <alignment horizontal="left" vertical="center" wrapText="1"/>
    </xf>
    <xf numFmtId="0" fontId="0" fillId="0" borderId="0" xfId="0">
      <alignment vertical="top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EI Sge - O-C Diagr.</a:t>
            </a:r>
          </a:p>
        </c:rich>
      </c:tx>
      <c:layout>
        <c:manualLayout>
          <c:xMode val="edge"/>
          <c:yMode val="edge"/>
          <c:x val="0.34917398754907703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623974633561702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34014.5</c:v>
                </c:pt>
                <c:pt idx="2">
                  <c:v>35006</c:v>
                </c:pt>
                <c:pt idx="3">
                  <c:v>35006</c:v>
                </c:pt>
                <c:pt idx="4">
                  <c:v>37744</c:v>
                </c:pt>
                <c:pt idx="5">
                  <c:v>37744.5</c:v>
                </c:pt>
                <c:pt idx="6">
                  <c:v>37785.5</c:v>
                </c:pt>
                <c:pt idx="7">
                  <c:v>39709.5</c:v>
                </c:pt>
                <c:pt idx="8">
                  <c:v>39709.5</c:v>
                </c:pt>
                <c:pt idx="9">
                  <c:v>42452.5</c:v>
                </c:pt>
                <c:pt idx="10">
                  <c:v>43377</c:v>
                </c:pt>
                <c:pt idx="11">
                  <c:v>48072.5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66-41AB-8647-3C61255A82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8.0000000000000004E-4</c:v>
                  </c:pt>
                  <c:pt idx="4">
                    <c:v>1.4E-3</c:v>
                  </c:pt>
                  <c:pt idx="5">
                    <c:v>1.9E-3</c:v>
                  </c:pt>
                  <c:pt idx="6">
                    <c:v>7.4999999999999997E-3</c:v>
                  </c:pt>
                  <c:pt idx="7">
                    <c:v>3.0000000000000001E-3</c:v>
                  </c:pt>
                  <c:pt idx="8">
                    <c:v>3.0000000000000001E-3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8.0000000000000004E-4</c:v>
                  </c:pt>
                  <c:pt idx="4">
                    <c:v>1.4E-3</c:v>
                  </c:pt>
                  <c:pt idx="5">
                    <c:v>1.9E-3</c:v>
                  </c:pt>
                  <c:pt idx="6">
                    <c:v>7.4999999999999997E-3</c:v>
                  </c:pt>
                  <c:pt idx="7">
                    <c:v>3.0000000000000001E-3</c:v>
                  </c:pt>
                  <c:pt idx="8">
                    <c:v>3.0000000000000001E-3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34014.5</c:v>
                </c:pt>
                <c:pt idx="2">
                  <c:v>35006</c:v>
                </c:pt>
                <c:pt idx="3">
                  <c:v>35006</c:v>
                </c:pt>
                <c:pt idx="4">
                  <c:v>37744</c:v>
                </c:pt>
                <c:pt idx="5">
                  <c:v>37744.5</c:v>
                </c:pt>
                <c:pt idx="6">
                  <c:v>37785.5</c:v>
                </c:pt>
                <c:pt idx="7">
                  <c:v>39709.5</c:v>
                </c:pt>
                <c:pt idx="8">
                  <c:v>39709.5</c:v>
                </c:pt>
                <c:pt idx="9">
                  <c:v>42452.5</c:v>
                </c:pt>
                <c:pt idx="10">
                  <c:v>43377</c:v>
                </c:pt>
                <c:pt idx="11">
                  <c:v>48072.5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-6.1595999999553896E-2</c:v>
                </c:pt>
                <c:pt idx="2">
                  <c:v>-5.9488000006240327E-2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66-41AB-8647-3C61255A82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8.0000000000000004E-4</c:v>
                  </c:pt>
                  <c:pt idx="4">
                    <c:v>1.4E-3</c:v>
                  </c:pt>
                  <c:pt idx="5">
                    <c:v>1.9E-3</c:v>
                  </c:pt>
                  <c:pt idx="6">
                    <c:v>7.4999999999999997E-3</c:v>
                  </c:pt>
                  <c:pt idx="7">
                    <c:v>3.0000000000000001E-3</c:v>
                  </c:pt>
                  <c:pt idx="8">
                    <c:v>3.0000000000000001E-3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8.0000000000000004E-4</c:v>
                  </c:pt>
                  <c:pt idx="4">
                    <c:v>1.4E-3</c:v>
                  </c:pt>
                  <c:pt idx="5">
                    <c:v>1.9E-3</c:v>
                  </c:pt>
                  <c:pt idx="6">
                    <c:v>7.4999999999999997E-3</c:v>
                  </c:pt>
                  <c:pt idx="7">
                    <c:v>3.0000000000000001E-3</c:v>
                  </c:pt>
                  <c:pt idx="8">
                    <c:v>3.0000000000000001E-3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34014.5</c:v>
                </c:pt>
                <c:pt idx="2">
                  <c:v>35006</c:v>
                </c:pt>
                <c:pt idx="3">
                  <c:v>35006</c:v>
                </c:pt>
                <c:pt idx="4">
                  <c:v>37744</c:v>
                </c:pt>
                <c:pt idx="5">
                  <c:v>37744.5</c:v>
                </c:pt>
                <c:pt idx="6">
                  <c:v>37785.5</c:v>
                </c:pt>
                <c:pt idx="7">
                  <c:v>39709.5</c:v>
                </c:pt>
                <c:pt idx="8">
                  <c:v>39709.5</c:v>
                </c:pt>
                <c:pt idx="9">
                  <c:v>42452.5</c:v>
                </c:pt>
                <c:pt idx="10">
                  <c:v>43377</c:v>
                </c:pt>
                <c:pt idx="11">
                  <c:v>48072.5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4">
                  <c:v>-5.5412000001524575E-2</c:v>
                </c:pt>
                <c:pt idx="5">
                  <c:v>-5.7236000000557397E-2</c:v>
                </c:pt>
                <c:pt idx="6">
                  <c:v>-5.170400000497466E-2</c:v>
                </c:pt>
                <c:pt idx="7">
                  <c:v>-5.4256000003078952E-2</c:v>
                </c:pt>
                <c:pt idx="8">
                  <c:v>-5.4256000003078952E-2</c:v>
                </c:pt>
                <c:pt idx="9">
                  <c:v>-6.2620000004244503E-2</c:v>
                </c:pt>
                <c:pt idx="10">
                  <c:v>-6.3395999997737817E-2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66-41AB-8647-3C61255A82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8.0000000000000004E-4</c:v>
                  </c:pt>
                  <c:pt idx="4">
                    <c:v>1.4E-3</c:v>
                  </c:pt>
                  <c:pt idx="5">
                    <c:v>1.9E-3</c:v>
                  </c:pt>
                  <c:pt idx="6">
                    <c:v>7.4999999999999997E-3</c:v>
                  </c:pt>
                  <c:pt idx="7">
                    <c:v>3.0000000000000001E-3</c:v>
                  </c:pt>
                  <c:pt idx="8">
                    <c:v>3.0000000000000001E-3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8.0000000000000004E-4</c:v>
                  </c:pt>
                  <c:pt idx="4">
                    <c:v>1.4E-3</c:v>
                  </c:pt>
                  <c:pt idx="5">
                    <c:v>1.9E-3</c:v>
                  </c:pt>
                  <c:pt idx="6">
                    <c:v>7.4999999999999997E-3</c:v>
                  </c:pt>
                  <c:pt idx="7">
                    <c:v>3.0000000000000001E-3</c:v>
                  </c:pt>
                  <c:pt idx="8">
                    <c:v>3.0000000000000001E-3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34014.5</c:v>
                </c:pt>
                <c:pt idx="2">
                  <c:v>35006</c:v>
                </c:pt>
                <c:pt idx="3">
                  <c:v>35006</c:v>
                </c:pt>
                <c:pt idx="4">
                  <c:v>37744</c:v>
                </c:pt>
                <c:pt idx="5">
                  <c:v>37744.5</c:v>
                </c:pt>
                <c:pt idx="6">
                  <c:v>37785.5</c:v>
                </c:pt>
                <c:pt idx="7">
                  <c:v>39709.5</c:v>
                </c:pt>
                <c:pt idx="8">
                  <c:v>39709.5</c:v>
                </c:pt>
                <c:pt idx="9">
                  <c:v>42452.5</c:v>
                </c:pt>
                <c:pt idx="10">
                  <c:v>43377</c:v>
                </c:pt>
                <c:pt idx="11">
                  <c:v>48072.5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1">
                  <c:v>-6.5549999999348074E-2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66-41AB-8647-3C61255A82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8.0000000000000004E-4</c:v>
                  </c:pt>
                  <c:pt idx="4">
                    <c:v>1.4E-3</c:v>
                  </c:pt>
                  <c:pt idx="5">
                    <c:v>1.9E-3</c:v>
                  </c:pt>
                  <c:pt idx="6">
                    <c:v>7.4999999999999997E-3</c:v>
                  </c:pt>
                  <c:pt idx="7">
                    <c:v>3.0000000000000001E-3</c:v>
                  </c:pt>
                  <c:pt idx="8">
                    <c:v>3.0000000000000001E-3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8.0000000000000004E-4</c:v>
                  </c:pt>
                  <c:pt idx="4">
                    <c:v>1.4E-3</c:v>
                  </c:pt>
                  <c:pt idx="5">
                    <c:v>1.9E-3</c:v>
                  </c:pt>
                  <c:pt idx="6">
                    <c:v>7.4999999999999997E-3</c:v>
                  </c:pt>
                  <c:pt idx="7">
                    <c:v>3.0000000000000001E-3</c:v>
                  </c:pt>
                  <c:pt idx="8">
                    <c:v>3.0000000000000001E-3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34014.5</c:v>
                </c:pt>
                <c:pt idx="2">
                  <c:v>35006</c:v>
                </c:pt>
                <c:pt idx="3">
                  <c:v>35006</c:v>
                </c:pt>
                <c:pt idx="4">
                  <c:v>37744</c:v>
                </c:pt>
                <c:pt idx="5">
                  <c:v>37744.5</c:v>
                </c:pt>
                <c:pt idx="6">
                  <c:v>37785.5</c:v>
                </c:pt>
                <c:pt idx="7">
                  <c:v>39709.5</c:v>
                </c:pt>
                <c:pt idx="8">
                  <c:v>39709.5</c:v>
                </c:pt>
                <c:pt idx="9">
                  <c:v>42452.5</c:v>
                </c:pt>
                <c:pt idx="10">
                  <c:v>43377</c:v>
                </c:pt>
                <c:pt idx="11">
                  <c:v>48072.5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  <c:pt idx="3">
                  <c:v>-5.8788000002095941E-2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66-41AB-8647-3C61255A82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8.0000000000000004E-4</c:v>
                  </c:pt>
                  <c:pt idx="4">
                    <c:v>1.4E-3</c:v>
                  </c:pt>
                  <c:pt idx="5">
                    <c:v>1.9E-3</c:v>
                  </c:pt>
                  <c:pt idx="6">
                    <c:v>7.4999999999999997E-3</c:v>
                  </c:pt>
                  <c:pt idx="7">
                    <c:v>3.0000000000000001E-3</c:v>
                  </c:pt>
                  <c:pt idx="8">
                    <c:v>3.0000000000000001E-3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8.0000000000000004E-4</c:v>
                  </c:pt>
                  <c:pt idx="4">
                    <c:v>1.4E-3</c:v>
                  </c:pt>
                  <c:pt idx="5">
                    <c:v>1.9E-3</c:v>
                  </c:pt>
                  <c:pt idx="6">
                    <c:v>7.4999999999999997E-3</c:v>
                  </c:pt>
                  <c:pt idx="7">
                    <c:v>3.0000000000000001E-3</c:v>
                  </c:pt>
                  <c:pt idx="8">
                    <c:v>3.0000000000000001E-3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34014.5</c:v>
                </c:pt>
                <c:pt idx="2">
                  <c:v>35006</c:v>
                </c:pt>
                <c:pt idx="3">
                  <c:v>35006</c:v>
                </c:pt>
                <c:pt idx="4">
                  <c:v>37744</c:v>
                </c:pt>
                <c:pt idx="5">
                  <c:v>37744.5</c:v>
                </c:pt>
                <c:pt idx="6">
                  <c:v>37785.5</c:v>
                </c:pt>
                <c:pt idx="7">
                  <c:v>39709.5</c:v>
                </c:pt>
                <c:pt idx="8">
                  <c:v>39709.5</c:v>
                </c:pt>
                <c:pt idx="9">
                  <c:v>42452.5</c:v>
                </c:pt>
                <c:pt idx="10">
                  <c:v>43377</c:v>
                </c:pt>
                <c:pt idx="11">
                  <c:v>48072.5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66-41AB-8647-3C61255A82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8.0000000000000004E-4</c:v>
                  </c:pt>
                  <c:pt idx="4">
                    <c:v>1.4E-3</c:v>
                  </c:pt>
                  <c:pt idx="5">
                    <c:v>1.9E-3</c:v>
                  </c:pt>
                  <c:pt idx="6">
                    <c:v>7.4999999999999997E-3</c:v>
                  </c:pt>
                  <c:pt idx="7">
                    <c:v>3.0000000000000001E-3</c:v>
                  </c:pt>
                  <c:pt idx="8">
                    <c:v>3.0000000000000001E-3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8.0000000000000004E-4</c:v>
                  </c:pt>
                  <c:pt idx="4">
                    <c:v>1.4E-3</c:v>
                  </c:pt>
                  <c:pt idx="5">
                    <c:v>1.9E-3</c:v>
                  </c:pt>
                  <c:pt idx="6">
                    <c:v>7.4999999999999997E-3</c:v>
                  </c:pt>
                  <c:pt idx="7">
                    <c:v>3.0000000000000001E-3</c:v>
                  </c:pt>
                  <c:pt idx="8">
                    <c:v>3.0000000000000001E-3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34014.5</c:v>
                </c:pt>
                <c:pt idx="2">
                  <c:v>35006</c:v>
                </c:pt>
                <c:pt idx="3">
                  <c:v>35006</c:v>
                </c:pt>
                <c:pt idx="4">
                  <c:v>37744</c:v>
                </c:pt>
                <c:pt idx="5">
                  <c:v>37744.5</c:v>
                </c:pt>
                <c:pt idx="6">
                  <c:v>37785.5</c:v>
                </c:pt>
                <c:pt idx="7">
                  <c:v>39709.5</c:v>
                </c:pt>
                <c:pt idx="8">
                  <c:v>39709.5</c:v>
                </c:pt>
                <c:pt idx="9">
                  <c:v>42452.5</c:v>
                </c:pt>
                <c:pt idx="10">
                  <c:v>43377</c:v>
                </c:pt>
                <c:pt idx="11">
                  <c:v>48072.5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66-41AB-8647-3C61255A82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34014.5</c:v>
                </c:pt>
                <c:pt idx="2">
                  <c:v>35006</c:v>
                </c:pt>
                <c:pt idx="3">
                  <c:v>35006</c:v>
                </c:pt>
                <c:pt idx="4">
                  <c:v>37744</c:v>
                </c:pt>
                <c:pt idx="5">
                  <c:v>37744.5</c:v>
                </c:pt>
                <c:pt idx="6">
                  <c:v>37785.5</c:v>
                </c:pt>
                <c:pt idx="7">
                  <c:v>39709.5</c:v>
                </c:pt>
                <c:pt idx="8">
                  <c:v>39709.5</c:v>
                </c:pt>
                <c:pt idx="9">
                  <c:v>42452.5</c:v>
                </c:pt>
                <c:pt idx="10">
                  <c:v>43377</c:v>
                </c:pt>
                <c:pt idx="11">
                  <c:v>48072.5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-3.9246624304116712E-2</c:v>
                </c:pt>
                <c:pt idx="1">
                  <c:v>-5.6038895599086806E-2</c:v>
                </c:pt>
                <c:pt idx="2">
                  <c:v>-5.6528379113145892E-2</c:v>
                </c:pt>
                <c:pt idx="3">
                  <c:v>-5.6528379113145892E-2</c:v>
                </c:pt>
                <c:pt idx="4">
                  <c:v>-5.7880074384445729E-2</c:v>
                </c:pt>
                <c:pt idx="5">
                  <c:v>-5.788032122434187E-2</c:v>
                </c:pt>
                <c:pt idx="6">
                  <c:v>-5.7900562095825905E-2</c:v>
                </c:pt>
                <c:pt idx="7">
                  <c:v>-5.8850402016198761E-2</c:v>
                </c:pt>
                <c:pt idx="8">
                  <c:v>-5.8850402016198761E-2</c:v>
                </c:pt>
                <c:pt idx="9">
                  <c:v>-6.0204565686460057E-2</c:v>
                </c:pt>
                <c:pt idx="10">
                  <c:v>-6.0660972654435479E-2</c:v>
                </c:pt>
                <c:pt idx="11">
                  <c:v>-6.2979046119150006E-2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66-41AB-8647-3C61255A8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295416"/>
        <c:axId val="1"/>
      </c:scatterChart>
      <c:valAx>
        <c:axId val="746295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295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68616732825751"/>
          <c:y val="0.86024975138977189"/>
          <c:w val="0.76446367757749289"/>
          <c:h val="0.121118338468561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0</xdr:row>
      <xdr:rowOff>9525</xdr:rowOff>
    </xdr:from>
    <xdr:to>
      <xdr:col>18</xdr:col>
      <xdr:colOff>666749</xdr:colOff>
      <xdr:row>17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20BA87-67B3-9177-FAF9-0ADA1DA53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263" TargetMode="External"/><Relationship Id="rId7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5263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www.bav-astro.de/sfs/BAVM_link.php?BAVMnr=173" TargetMode="External"/><Relationship Id="rId4" Type="http://schemas.openxmlformats.org/officeDocument/2006/relationships/hyperlink" Target="http://www.konkoly.hu/cgi-bin/IBVS?5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5.140625" style="1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4" customFormat="1" ht="20.25" x14ac:dyDescent="0.2">
      <c r="A1" s="53" t="s">
        <v>43</v>
      </c>
      <c r="B1" s="22"/>
    </row>
    <row r="2" spans="1:7" s="4" customFormat="1" ht="12.95" customHeight="1" x14ac:dyDescent="0.2">
      <c r="A2" s="4" t="s">
        <v>24</v>
      </c>
      <c r="B2" s="21" t="s">
        <v>39</v>
      </c>
    </row>
    <row r="3" spans="1:7" s="4" customFormat="1" ht="12.95" customHeight="1" x14ac:dyDescent="0.2">
      <c r="B3" s="22"/>
    </row>
    <row r="4" spans="1:7" s="4" customFormat="1" ht="12.95" customHeight="1" x14ac:dyDescent="0.2">
      <c r="A4" s="23" t="s">
        <v>0</v>
      </c>
      <c r="B4" s="22"/>
      <c r="C4" s="24">
        <v>36724.419000000002</v>
      </c>
      <c r="D4" s="25">
        <v>0.38824799999999998</v>
      </c>
    </row>
    <row r="5" spans="1:7" s="4" customFormat="1" ht="12.95" customHeight="1" x14ac:dyDescent="0.2">
      <c r="B5" s="22"/>
    </row>
    <row r="6" spans="1:7" s="4" customFormat="1" ht="12.95" customHeight="1" x14ac:dyDescent="0.2">
      <c r="A6" s="23" t="s">
        <v>1</v>
      </c>
      <c r="B6" s="22"/>
    </row>
    <row r="7" spans="1:7" s="4" customFormat="1" ht="12.95" customHeight="1" x14ac:dyDescent="0.2">
      <c r="A7" s="4" t="s">
        <v>2</v>
      </c>
      <c r="B7" s="22"/>
      <c r="C7" s="4">
        <f>+C4</f>
        <v>36724.419000000002</v>
      </c>
    </row>
    <row r="8" spans="1:7" s="4" customFormat="1" ht="12.95" customHeight="1" x14ac:dyDescent="0.2">
      <c r="A8" s="4" t="s">
        <v>3</v>
      </c>
      <c r="B8" s="22"/>
      <c r="C8" s="4">
        <f>+D4</f>
        <v>0.38824799999999998</v>
      </c>
    </row>
    <row r="9" spans="1:7" s="4" customFormat="1" ht="12.95" customHeight="1" x14ac:dyDescent="0.2">
      <c r="A9" s="26" t="s">
        <v>44</v>
      </c>
      <c r="C9" s="27">
        <v>-9.5</v>
      </c>
      <c r="D9" s="4" t="s">
        <v>45</v>
      </c>
    </row>
    <row r="10" spans="1:7" s="4" customFormat="1" ht="12.95" customHeight="1" thickBot="1" x14ac:dyDescent="0.25">
      <c r="C10" s="28" t="s">
        <v>20</v>
      </c>
      <c r="D10" s="28" t="s">
        <v>21</v>
      </c>
    </row>
    <row r="11" spans="1:7" s="4" customFormat="1" ht="12.95" customHeight="1" x14ac:dyDescent="0.2">
      <c r="A11" s="4" t="s">
        <v>16</v>
      </c>
      <c r="C11" s="29">
        <f ca="1">INTERCEPT(INDIRECT($G$11):G991,INDIRECT($F$11):F991)</f>
        <v>-3.9246624304116712E-2</v>
      </c>
      <c r="D11" s="22"/>
      <c r="F11" s="30" t="str">
        <f>"F"&amp;E19</f>
        <v>F21</v>
      </c>
      <c r="G11" s="29" t="str">
        <f>"G"&amp;E19</f>
        <v>G21</v>
      </c>
    </row>
    <row r="12" spans="1:7" s="4" customFormat="1" ht="12.95" customHeight="1" x14ac:dyDescent="0.2">
      <c r="A12" s="4" t="s">
        <v>17</v>
      </c>
      <c r="C12" s="29">
        <f ca="1">SLOPE(INDIRECT($G$11):G991,INDIRECT($F$11):F991)</f>
        <v>-4.9367979229358342E-7</v>
      </c>
      <c r="D12" s="22"/>
    </row>
    <row r="13" spans="1:7" s="4" customFormat="1" ht="12.95" customHeight="1" x14ac:dyDescent="0.2">
      <c r="A13" s="4" t="s">
        <v>19</v>
      </c>
      <c r="C13" s="22" t="s">
        <v>14</v>
      </c>
      <c r="D13" s="31" t="s">
        <v>50</v>
      </c>
      <c r="E13" s="27">
        <v>1</v>
      </c>
    </row>
    <row r="14" spans="1:7" s="4" customFormat="1" ht="12.95" customHeight="1" x14ac:dyDescent="0.2">
      <c r="D14" s="31" t="s">
        <v>46</v>
      </c>
      <c r="E14" s="32">
        <f ca="1">NOW()+15018.5+$C$9/24</f>
        <v>60375.794955671292</v>
      </c>
    </row>
    <row r="15" spans="1:7" s="4" customFormat="1" ht="12.95" customHeight="1" x14ac:dyDescent="0.2">
      <c r="A15" s="33" t="s">
        <v>18</v>
      </c>
      <c r="C15" s="34">
        <f ca="1">(C7+C11)+(C8+C12)*INT(MAX(F21:F3532))</f>
        <v>55388.213877200717</v>
      </c>
      <c r="D15" s="31" t="s">
        <v>51</v>
      </c>
      <c r="E15" s="32">
        <f ca="1">ROUND(2*(E14-$C$7)/$C$8,0)/2+E13</f>
        <v>60919</v>
      </c>
    </row>
    <row r="16" spans="1:7" s="4" customFormat="1" ht="12.95" customHeight="1" x14ac:dyDescent="0.2">
      <c r="A16" s="23" t="s">
        <v>4</v>
      </c>
      <c r="C16" s="35">
        <f ca="1">+C8+C12</f>
        <v>0.38824750632020771</v>
      </c>
      <c r="D16" s="31" t="s">
        <v>47</v>
      </c>
      <c r="E16" s="29">
        <f ca="1">ROUND(2*(E14-$C$15)/$C$16,0)/2+E13</f>
        <v>12847.5</v>
      </c>
    </row>
    <row r="17" spans="1:31" s="4" customFormat="1" ht="12.95" customHeight="1" thickBot="1" x14ac:dyDescent="0.25">
      <c r="A17" s="31" t="s">
        <v>40</v>
      </c>
      <c r="C17" s="4">
        <f>COUNT(C21:C2190)</f>
        <v>12</v>
      </c>
      <c r="D17" s="31" t="s">
        <v>48</v>
      </c>
      <c r="E17" s="36">
        <f ca="1">+$C$15+$C$16*E16-15018.5-$C$9/24</f>
        <v>45358.119547982918</v>
      </c>
    </row>
    <row r="18" spans="1:31" s="4" customFormat="1" ht="12.95" customHeight="1" thickTop="1" thickBot="1" x14ac:dyDescent="0.25">
      <c r="A18" s="23" t="s">
        <v>5</v>
      </c>
      <c r="C18" s="24">
        <f ca="1">+C15</f>
        <v>55388.213877200717</v>
      </c>
      <c r="D18" s="25">
        <f ca="1">+C16</f>
        <v>0.38824750632020771</v>
      </c>
      <c r="E18" s="37" t="s">
        <v>49</v>
      </c>
    </row>
    <row r="19" spans="1:31" s="4" customFormat="1" ht="12.95" customHeight="1" thickTop="1" x14ac:dyDescent="0.2">
      <c r="A19" s="38" t="s">
        <v>52</v>
      </c>
      <c r="E19" s="39">
        <v>21</v>
      </c>
    </row>
    <row r="20" spans="1:31" s="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13</v>
      </c>
      <c r="E20" s="28" t="s">
        <v>9</v>
      </c>
      <c r="F20" s="28" t="s">
        <v>10</v>
      </c>
      <c r="G20" s="28" t="s">
        <v>11</v>
      </c>
      <c r="H20" s="40" t="s">
        <v>12</v>
      </c>
      <c r="I20" s="40" t="s">
        <v>34</v>
      </c>
      <c r="J20" s="40" t="s">
        <v>37</v>
      </c>
      <c r="K20" s="40" t="s">
        <v>54</v>
      </c>
      <c r="L20" s="40" t="s">
        <v>25</v>
      </c>
      <c r="M20" s="40" t="s">
        <v>26</v>
      </c>
      <c r="N20" s="40" t="s">
        <v>27</v>
      </c>
      <c r="O20" s="40" t="s">
        <v>23</v>
      </c>
      <c r="P20" s="41" t="s">
        <v>22</v>
      </c>
      <c r="Q20" s="28" t="s">
        <v>15</v>
      </c>
    </row>
    <row r="21" spans="1:31" s="4" customFormat="1" ht="12.95" customHeight="1" x14ac:dyDescent="0.2">
      <c r="A21" s="4" t="s">
        <v>12</v>
      </c>
      <c r="B21" s="22"/>
      <c r="C21" s="42">
        <v>36724.419000000002</v>
      </c>
      <c r="D21" s="42" t="s">
        <v>14</v>
      </c>
      <c r="E21" s="4">
        <f t="shared" ref="E21:E32" si="0">+(C21-C$7)/C$8</f>
        <v>0</v>
      </c>
      <c r="F21" s="4">
        <f t="shared" ref="F21:F32" si="1">ROUND(2*E21,0)/2</f>
        <v>0</v>
      </c>
      <c r="H21" s="29">
        <v>0</v>
      </c>
      <c r="O21" s="4">
        <f t="shared" ref="O21:O32" ca="1" si="2">+C$11+C$12*$F21</f>
        <v>-3.9246624304116712E-2</v>
      </c>
      <c r="Q21" s="43">
        <f t="shared" ref="Q21:Q32" si="3">+C21-15018.5</f>
        <v>21705.919000000002</v>
      </c>
    </row>
    <row r="22" spans="1:31" s="4" customFormat="1" ht="12.95" customHeight="1" x14ac:dyDescent="0.2">
      <c r="A22" s="4" t="s">
        <v>29</v>
      </c>
      <c r="B22" s="22" t="s">
        <v>33</v>
      </c>
      <c r="C22" s="42">
        <v>49930.419000000002</v>
      </c>
      <c r="D22" s="42">
        <v>3.0000000000000001E-3</v>
      </c>
      <c r="E22" s="4">
        <f t="shared" si="0"/>
        <v>34014.341348828588</v>
      </c>
      <c r="F22" s="4">
        <f t="shared" si="1"/>
        <v>34014.5</v>
      </c>
      <c r="G22" s="4">
        <f t="shared" ref="G22:G32" si="4">+C22-(C$7+F22*C$8)</f>
        <v>-6.1595999999553896E-2</v>
      </c>
      <c r="I22" s="4">
        <f>+G22</f>
        <v>-6.1595999999553896E-2</v>
      </c>
      <c r="O22" s="4">
        <f t="shared" ca="1" si="2"/>
        <v>-5.6038895599086806E-2</v>
      </c>
      <c r="Q22" s="43">
        <f t="shared" si="3"/>
        <v>34911.919000000002</v>
      </c>
      <c r="AA22" s="4">
        <v>8</v>
      </c>
      <c r="AC22" s="4" t="s">
        <v>28</v>
      </c>
      <c r="AE22" s="4" t="s">
        <v>30</v>
      </c>
    </row>
    <row r="23" spans="1:31" s="4" customFormat="1" ht="12.95" customHeight="1" x14ac:dyDescent="0.2">
      <c r="A23" s="4" t="s">
        <v>32</v>
      </c>
      <c r="B23" s="22"/>
      <c r="C23" s="42">
        <v>50315.368999999999</v>
      </c>
      <c r="D23" s="42">
        <v>8.0000000000000004E-4</v>
      </c>
      <c r="E23" s="4">
        <f t="shared" si="0"/>
        <v>35005.846778347855</v>
      </c>
      <c r="F23" s="4">
        <f t="shared" si="1"/>
        <v>35006</v>
      </c>
      <c r="G23" s="4">
        <f t="shared" si="4"/>
        <v>-5.9488000006240327E-2</v>
      </c>
      <c r="I23" s="4">
        <f>+G23</f>
        <v>-5.9488000006240327E-2</v>
      </c>
      <c r="O23" s="4">
        <f t="shared" ca="1" si="2"/>
        <v>-5.6528379113145892E-2</v>
      </c>
      <c r="Q23" s="43">
        <f t="shared" si="3"/>
        <v>35296.868999999999</v>
      </c>
      <c r="AA23" s="4">
        <v>20</v>
      </c>
      <c r="AC23" s="4" t="s">
        <v>31</v>
      </c>
      <c r="AE23" s="4" t="s">
        <v>30</v>
      </c>
    </row>
    <row r="24" spans="1:31" s="4" customFormat="1" ht="12.95" customHeight="1" x14ac:dyDescent="0.2">
      <c r="A24" s="44" t="s">
        <v>76</v>
      </c>
      <c r="B24" s="45" t="s">
        <v>35</v>
      </c>
      <c r="C24" s="46">
        <v>50315.369700000003</v>
      </c>
      <c r="D24" s="42"/>
      <c r="E24" s="4">
        <f t="shared" si="0"/>
        <v>35005.848581319158</v>
      </c>
      <c r="F24" s="4">
        <f t="shared" si="1"/>
        <v>35006</v>
      </c>
      <c r="G24" s="4">
        <f t="shared" si="4"/>
        <v>-5.8788000002095941E-2</v>
      </c>
      <c r="L24" s="4">
        <f>+G24</f>
        <v>-5.8788000002095941E-2</v>
      </c>
      <c r="O24" s="4">
        <f t="shared" ca="1" si="2"/>
        <v>-5.6528379113145892E-2</v>
      </c>
      <c r="Q24" s="43">
        <f t="shared" si="3"/>
        <v>35296.869700000003</v>
      </c>
    </row>
    <row r="25" spans="1:31" s="4" customFormat="1" ht="12.95" customHeight="1" x14ac:dyDescent="0.2">
      <c r="A25" s="4" t="s">
        <v>36</v>
      </c>
      <c r="B25" s="47" t="s">
        <v>35</v>
      </c>
      <c r="C25" s="2">
        <v>51378.396099999998</v>
      </c>
      <c r="D25" s="2">
        <v>1.4E-3</v>
      </c>
      <c r="E25" s="4">
        <f t="shared" si="0"/>
        <v>37743.857276792143</v>
      </c>
      <c r="F25" s="4">
        <f t="shared" si="1"/>
        <v>37744</v>
      </c>
      <c r="G25" s="4">
        <f t="shared" si="4"/>
        <v>-5.5412000001524575E-2</v>
      </c>
      <c r="J25" s="4">
        <f t="shared" ref="J25:J31" si="5">+G25</f>
        <v>-5.5412000001524575E-2</v>
      </c>
      <c r="O25" s="4">
        <f t="shared" ca="1" si="2"/>
        <v>-5.7880074384445729E-2</v>
      </c>
      <c r="Q25" s="43">
        <f t="shared" si="3"/>
        <v>36359.896099999998</v>
      </c>
    </row>
    <row r="26" spans="1:31" s="4" customFormat="1" ht="12.95" customHeight="1" x14ac:dyDescent="0.2">
      <c r="A26" s="4" t="s">
        <v>36</v>
      </c>
      <c r="B26" s="47" t="s">
        <v>33</v>
      </c>
      <c r="C26" s="2">
        <v>51378.588400000001</v>
      </c>
      <c r="D26" s="2">
        <v>1.9E-3</v>
      </c>
      <c r="E26" s="4">
        <f t="shared" si="0"/>
        <v>37744.35257876409</v>
      </c>
      <c r="F26" s="4">
        <f t="shared" si="1"/>
        <v>37744.5</v>
      </c>
      <c r="G26" s="4">
        <f t="shared" si="4"/>
        <v>-5.7236000000557397E-2</v>
      </c>
      <c r="J26" s="4">
        <f t="shared" si="5"/>
        <v>-5.7236000000557397E-2</v>
      </c>
      <c r="O26" s="4">
        <f t="shared" ca="1" si="2"/>
        <v>-5.788032122434187E-2</v>
      </c>
      <c r="Q26" s="43">
        <f t="shared" si="3"/>
        <v>36360.088400000001</v>
      </c>
    </row>
    <row r="27" spans="1:31" s="4" customFormat="1" ht="12.95" customHeight="1" x14ac:dyDescent="0.2">
      <c r="A27" s="4" t="s">
        <v>36</v>
      </c>
      <c r="B27" s="47" t="s">
        <v>33</v>
      </c>
      <c r="C27" s="2">
        <v>51394.5121</v>
      </c>
      <c r="D27" s="2">
        <v>7.4999999999999997E-3</v>
      </c>
      <c r="E27" s="4">
        <f t="shared" si="0"/>
        <v>37785.36682738868</v>
      </c>
      <c r="F27" s="4">
        <f t="shared" si="1"/>
        <v>37785.5</v>
      </c>
      <c r="G27" s="4">
        <f t="shared" si="4"/>
        <v>-5.170400000497466E-2</v>
      </c>
      <c r="J27" s="4">
        <f t="shared" si="5"/>
        <v>-5.170400000497466E-2</v>
      </c>
      <c r="O27" s="4">
        <f t="shared" ca="1" si="2"/>
        <v>-5.7900562095825905E-2</v>
      </c>
      <c r="Q27" s="43">
        <f t="shared" si="3"/>
        <v>36376.0121</v>
      </c>
    </row>
    <row r="28" spans="1:31" s="4" customFormat="1" ht="12.95" customHeight="1" x14ac:dyDescent="0.2">
      <c r="A28" s="2" t="s">
        <v>38</v>
      </c>
      <c r="B28" s="3" t="s">
        <v>33</v>
      </c>
      <c r="C28" s="2">
        <v>52141.498699999996</v>
      </c>
      <c r="D28" s="6">
        <v>3.0000000000000001E-3</v>
      </c>
      <c r="E28" s="4">
        <f t="shared" si="0"/>
        <v>39709.360254270454</v>
      </c>
      <c r="F28" s="4">
        <f t="shared" si="1"/>
        <v>39709.5</v>
      </c>
      <c r="G28" s="4">
        <f t="shared" si="4"/>
        <v>-5.4256000003078952E-2</v>
      </c>
      <c r="J28" s="4">
        <f t="shared" si="5"/>
        <v>-5.4256000003078952E-2</v>
      </c>
      <c r="O28" s="4">
        <f t="shared" ca="1" si="2"/>
        <v>-5.8850402016198761E-2</v>
      </c>
      <c r="Q28" s="43">
        <f t="shared" si="3"/>
        <v>37122.998699999996</v>
      </c>
    </row>
    <row r="29" spans="1:31" s="4" customFormat="1" ht="12.95" customHeight="1" x14ac:dyDescent="0.2">
      <c r="A29" s="2" t="s">
        <v>38</v>
      </c>
      <c r="B29" s="3" t="s">
        <v>33</v>
      </c>
      <c r="C29" s="2">
        <v>52141.498699999996</v>
      </c>
      <c r="D29" s="2">
        <v>3.0000000000000001E-3</v>
      </c>
      <c r="E29" s="4">
        <f t="shared" si="0"/>
        <v>39709.360254270454</v>
      </c>
      <c r="F29" s="4">
        <f t="shared" si="1"/>
        <v>39709.5</v>
      </c>
      <c r="G29" s="4">
        <f t="shared" si="4"/>
        <v>-5.4256000003078952E-2</v>
      </c>
      <c r="J29" s="4">
        <f t="shared" si="5"/>
        <v>-5.4256000003078952E-2</v>
      </c>
      <c r="O29" s="4">
        <f t="shared" ca="1" si="2"/>
        <v>-5.8850402016198761E-2</v>
      </c>
      <c r="Q29" s="43">
        <f t="shared" si="3"/>
        <v>37122.998699999996</v>
      </c>
    </row>
    <row r="30" spans="1:31" s="4" customFormat="1" ht="12.95" customHeight="1" x14ac:dyDescent="0.2">
      <c r="A30" s="4" t="s">
        <v>41</v>
      </c>
      <c r="B30" s="47"/>
      <c r="C30" s="42">
        <v>53206.454599999997</v>
      </c>
      <c r="D30" s="42">
        <v>6.9999999999999999E-4</v>
      </c>
      <c r="E30" s="4">
        <f t="shared" si="0"/>
        <v>42452.338711339136</v>
      </c>
      <c r="F30" s="4">
        <f t="shared" si="1"/>
        <v>42452.5</v>
      </c>
      <c r="G30" s="4">
        <f t="shared" si="4"/>
        <v>-6.2620000004244503E-2</v>
      </c>
      <c r="J30" s="4">
        <f t="shared" si="5"/>
        <v>-6.2620000004244503E-2</v>
      </c>
      <c r="O30" s="4">
        <f t="shared" ca="1" si="2"/>
        <v>-6.0204565686460057E-2</v>
      </c>
      <c r="Q30" s="43">
        <f t="shared" si="3"/>
        <v>38187.954599999997</v>
      </c>
    </row>
    <row r="31" spans="1:31" s="4" customFormat="1" ht="12.95" customHeight="1" x14ac:dyDescent="0.2">
      <c r="A31" s="4" t="s">
        <v>42</v>
      </c>
      <c r="B31" s="48"/>
      <c r="C31" s="42">
        <v>53565.3891</v>
      </c>
      <c r="D31" s="42">
        <v>2.0000000000000001E-4</v>
      </c>
      <c r="E31" s="4">
        <f t="shared" si="0"/>
        <v>43376.836712616678</v>
      </c>
      <c r="F31" s="4">
        <f t="shared" si="1"/>
        <v>43377</v>
      </c>
      <c r="G31" s="4">
        <f t="shared" si="4"/>
        <v>-6.3395999997737817E-2</v>
      </c>
      <c r="J31" s="4">
        <f t="shared" si="5"/>
        <v>-6.3395999997737817E-2</v>
      </c>
      <c r="O31" s="4">
        <f t="shared" ca="1" si="2"/>
        <v>-6.0660972654435479E-2</v>
      </c>
      <c r="Q31" s="43">
        <f t="shared" si="3"/>
        <v>38546.8891</v>
      </c>
    </row>
    <row r="32" spans="1:31" s="4" customFormat="1" ht="12.95" customHeight="1" x14ac:dyDescent="0.2">
      <c r="A32" s="49" t="s">
        <v>53</v>
      </c>
      <c r="B32" s="50" t="s">
        <v>33</v>
      </c>
      <c r="C32" s="51">
        <v>55388.405429999999</v>
      </c>
      <c r="D32" s="51">
        <v>1E-3</v>
      </c>
      <c r="E32" s="4">
        <f t="shared" si="0"/>
        <v>48072.331164616429</v>
      </c>
      <c r="F32" s="4">
        <f t="shared" si="1"/>
        <v>48072.5</v>
      </c>
      <c r="G32" s="4">
        <f t="shared" si="4"/>
        <v>-6.5549999999348074E-2</v>
      </c>
      <c r="K32" s="4">
        <f>+G32</f>
        <v>-6.5549999999348074E-2</v>
      </c>
      <c r="O32" s="4">
        <f t="shared" ca="1" si="2"/>
        <v>-6.2979046119150006E-2</v>
      </c>
      <c r="Q32" s="43">
        <f t="shared" si="3"/>
        <v>40369.905429999999</v>
      </c>
    </row>
    <row r="33" spans="2:4" s="4" customFormat="1" ht="12.95" customHeight="1" x14ac:dyDescent="0.2">
      <c r="B33" s="22"/>
      <c r="C33" s="52"/>
      <c r="D33" s="52"/>
    </row>
    <row r="34" spans="2:4" s="4" customFormat="1" ht="12.95" customHeight="1" x14ac:dyDescent="0.2">
      <c r="B34" s="22"/>
      <c r="C34" s="52"/>
      <c r="D34" s="52"/>
    </row>
    <row r="35" spans="2:4" s="4" customFormat="1" ht="12.95" customHeight="1" x14ac:dyDescent="0.2">
      <c r="B35" s="22"/>
      <c r="C35" s="52"/>
      <c r="D35" s="52"/>
    </row>
    <row r="36" spans="2:4" s="4" customFormat="1" ht="12.95" customHeight="1" x14ac:dyDescent="0.2">
      <c r="B36" s="22"/>
      <c r="C36" s="52"/>
      <c r="D36" s="52"/>
    </row>
    <row r="37" spans="2:4" x14ac:dyDescent="0.2">
      <c r="C37" s="5"/>
      <c r="D37" s="5"/>
    </row>
    <row r="38" spans="2:4" x14ac:dyDescent="0.2">
      <c r="C38" s="5"/>
      <c r="D38" s="5"/>
    </row>
    <row r="39" spans="2:4" x14ac:dyDescent="0.2">
      <c r="C39" s="5"/>
      <c r="D39" s="5"/>
    </row>
    <row r="40" spans="2:4" x14ac:dyDescent="0.2">
      <c r="C40" s="5"/>
      <c r="D40" s="5"/>
    </row>
    <row r="41" spans="2:4" x14ac:dyDescent="0.2">
      <c r="C41" s="5"/>
      <c r="D41" s="5"/>
    </row>
    <row r="42" spans="2:4" x14ac:dyDescent="0.2">
      <c r="C42" s="5"/>
      <c r="D42" s="5"/>
    </row>
    <row r="43" spans="2:4" x14ac:dyDescent="0.2">
      <c r="C43" s="5"/>
      <c r="D43" s="5"/>
    </row>
    <row r="44" spans="2:4" x14ac:dyDescent="0.2">
      <c r="C44" s="5"/>
      <c r="D44" s="5"/>
    </row>
    <row r="45" spans="2:4" x14ac:dyDescent="0.2">
      <c r="C45" s="5"/>
      <c r="D45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1"/>
  <sheetViews>
    <sheetView workbookViewId="0">
      <selection activeCell="A18" sqref="A18:C19"/>
    </sheetView>
  </sheetViews>
  <sheetFormatPr defaultRowHeight="12.75" x14ac:dyDescent="0.2"/>
  <cols>
    <col min="1" max="1" width="19.7109375" style="5" customWidth="1"/>
    <col min="2" max="2" width="4.42578125" style="7" customWidth="1"/>
    <col min="3" max="3" width="12.7109375" style="5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5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8" t="s">
        <v>55</v>
      </c>
      <c r="I1" s="9" t="s">
        <v>56</v>
      </c>
      <c r="J1" s="10" t="s">
        <v>57</v>
      </c>
    </row>
    <row r="2" spans="1:16" x14ac:dyDescent="0.2">
      <c r="I2" s="11" t="s">
        <v>58</v>
      </c>
      <c r="J2" s="12" t="s">
        <v>59</v>
      </c>
    </row>
    <row r="3" spans="1:16" x14ac:dyDescent="0.2">
      <c r="A3" s="13" t="s">
        <v>60</v>
      </c>
      <c r="I3" s="11" t="s">
        <v>61</v>
      </c>
      <c r="J3" s="12" t="s">
        <v>62</v>
      </c>
    </row>
    <row r="4" spans="1:16" x14ac:dyDescent="0.2">
      <c r="I4" s="11" t="s">
        <v>63</v>
      </c>
      <c r="J4" s="12" t="s">
        <v>62</v>
      </c>
    </row>
    <row r="5" spans="1:16" ht="13.5" thickBot="1" x14ac:dyDescent="0.25">
      <c r="I5" s="14" t="s">
        <v>64</v>
      </c>
      <c r="J5" s="15" t="s">
        <v>65</v>
      </c>
    </row>
    <row r="10" spans="1:16" ht="13.5" thickBot="1" x14ac:dyDescent="0.25"/>
    <row r="11" spans="1:16" ht="12.75" customHeight="1" thickBot="1" x14ac:dyDescent="0.25">
      <c r="A11" s="5" t="str">
        <f t="shared" ref="A11:A19" si="0">P11</f>
        <v> BBS 109 </v>
      </c>
      <c r="B11" s="1" t="str">
        <f t="shared" ref="B11:B19" si="1">IF(H11=INT(H11),"I","II")</f>
        <v>II</v>
      </c>
      <c r="C11" s="5">
        <f t="shared" ref="C11:C19" si="2">1*G11</f>
        <v>49930.419000000002</v>
      </c>
      <c r="D11" s="7" t="str">
        <f t="shared" ref="D11:D19" si="3">VLOOKUP(F11,I$1:J$5,2,FALSE)</f>
        <v>vis</v>
      </c>
      <c r="E11" s="16">
        <f>VLOOKUP(C11,ACTIVE!C$21:E$972,3,FALSE)</f>
        <v>34014.341348828588</v>
      </c>
      <c r="F11" s="1" t="s">
        <v>64</v>
      </c>
      <c r="G11" s="7" t="str">
        <f t="shared" ref="G11:G19" si="4">MID(I11,3,LEN(I11)-3)</f>
        <v>49930.419</v>
      </c>
      <c r="H11" s="5">
        <f t="shared" ref="H11:H19" si="5">1*K11</f>
        <v>34014.5</v>
      </c>
      <c r="I11" s="17" t="s">
        <v>66</v>
      </c>
      <c r="J11" s="18" t="s">
        <v>67</v>
      </c>
      <c r="K11" s="17">
        <v>34014.5</v>
      </c>
      <c r="L11" s="17" t="s">
        <v>68</v>
      </c>
      <c r="M11" s="18" t="s">
        <v>69</v>
      </c>
      <c r="N11" s="18" t="s">
        <v>70</v>
      </c>
      <c r="O11" s="19" t="s">
        <v>71</v>
      </c>
      <c r="P11" s="19" t="s">
        <v>72</v>
      </c>
    </row>
    <row r="12" spans="1:16" ht="12.75" customHeight="1" thickBot="1" x14ac:dyDescent="0.25">
      <c r="A12" s="5" t="str">
        <f t="shared" si="0"/>
        <v>IBVS 5263 </v>
      </c>
      <c r="B12" s="1" t="str">
        <f t="shared" si="1"/>
        <v>I</v>
      </c>
      <c r="C12" s="5">
        <f t="shared" si="2"/>
        <v>51378.396099999998</v>
      </c>
      <c r="D12" s="7" t="str">
        <f t="shared" si="3"/>
        <v>vis</v>
      </c>
      <c r="E12" s="16">
        <f>VLOOKUP(C12,ACTIVE!C$21:E$972,3,FALSE)</f>
        <v>37743.857276792143</v>
      </c>
      <c r="F12" s="1" t="s">
        <v>64</v>
      </c>
      <c r="G12" s="7" t="str">
        <f t="shared" si="4"/>
        <v>51378.3961</v>
      </c>
      <c r="H12" s="5">
        <f t="shared" si="5"/>
        <v>37744</v>
      </c>
      <c r="I12" s="17" t="s">
        <v>77</v>
      </c>
      <c r="J12" s="18" t="s">
        <v>78</v>
      </c>
      <c r="K12" s="17">
        <v>37744</v>
      </c>
      <c r="L12" s="17" t="s">
        <v>79</v>
      </c>
      <c r="M12" s="18" t="s">
        <v>69</v>
      </c>
      <c r="N12" s="18" t="s">
        <v>70</v>
      </c>
      <c r="O12" s="19" t="s">
        <v>80</v>
      </c>
      <c r="P12" s="20" t="s">
        <v>81</v>
      </c>
    </row>
    <row r="13" spans="1:16" ht="12.75" customHeight="1" thickBot="1" x14ac:dyDescent="0.25">
      <c r="A13" s="5" t="str">
        <f t="shared" si="0"/>
        <v>IBVS 5263 </v>
      </c>
      <c r="B13" s="1" t="str">
        <f t="shared" si="1"/>
        <v>II</v>
      </c>
      <c r="C13" s="5">
        <f t="shared" si="2"/>
        <v>51378.588400000001</v>
      </c>
      <c r="D13" s="7" t="str">
        <f t="shared" si="3"/>
        <v>vis</v>
      </c>
      <c r="E13" s="16">
        <f>VLOOKUP(C13,ACTIVE!C$21:E$972,3,FALSE)</f>
        <v>37744.35257876409</v>
      </c>
      <c r="F13" s="1" t="s">
        <v>64</v>
      </c>
      <c r="G13" s="7" t="str">
        <f t="shared" si="4"/>
        <v>51378.5884</v>
      </c>
      <c r="H13" s="5">
        <f t="shared" si="5"/>
        <v>37744.5</v>
      </c>
      <c r="I13" s="17" t="s">
        <v>82</v>
      </c>
      <c r="J13" s="18" t="s">
        <v>83</v>
      </c>
      <c r="K13" s="17">
        <v>37744.5</v>
      </c>
      <c r="L13" s="17" t="s">
        <v>84</v>
      </c>
      <c r="M13" s="18" t="s">
        <v>69</v>
      </c>
      <c r="N13" s="18" t="s">
        <v>70</v>
      </c>
      <c r="O13" s="19" t="s">
        <v>80</v>
      </c>
      <c r="P13" s="20" t="s">
        <v>81</v>
      </c>
    </row>
    <row r="14" spans="1:16" ht="12.75" customHeight="1" thickBot="1" x14ac:dyDescent="0.25">
      <c r="A14" s="5" t="str">
        <f t="shared" si="0"/>
        <v>IBVS 5263 </v>
      </c>
      <c r="B14" s="1" t="str">
        <f t="shared" si="1"/>
        <v>II</v>
      </c>
      <c r="C14" s="5">
        <f t="shared" si="2"/>
        <v>51394.5121</v>
      </c>
      <c r="D14" s="7" t="str">
        <f t="shared" si="3"/>
        <v>vis</v>
      </c>
      <c r="E14" s="16">
        <f>VLOOKUP(C14,ACTIVE!C$21:E$972,3,FALSE)</f>
        <v>37785.36682738868</v>
      </c>
      <c r="F14" s="1" t="s">
        <v>64</v>
      </c>
      <c r="G14" s="7" t="str">
        <f t="shared" si="4"/>
        <v>51394.5121</v>
      </c>
      <c r="H14" s="5">
        <f t="shared" si="5"/>
        <v>37785.5</v>
      </c>
      <c r="I14" s="17" t="s">
        <v>85</v>
      </c>
      <c r="J14" s="18" t="s">
        <v>86</v>
      </c>
      <c r="K14" s="17">
        <v>37785.5</v>
      </c>
      <c r="L14" s="17" t="s">
        <v>87</v>
      </c>
      <c r="M14" s="18" t="s">
        <v>69</v>
      </c>
      <c r="N14" s="18" t="s">
        <v>70</v>
      </c>
      <c r="O14" s="19" t="s">
        <v>80</v>
      </c>
      <c r="P14" s="20" t="s">
        <v>81</v>
      </c>
    </row>
    <row r="15" spans="1:16" ht="12.75" customHeight="1" thickBot="1" x14ac:dyDescent="0.25">
      <c r="A15" s="5" t="str">
        <f t="shared" si="0"/>
        <v>IBVS 5583 </v>
      </c>
      <c r="B15" s="1" t="str">
        <f t="shared" si="1"/>
        <v>II</v>
      </c>
      <c r="C15" s="5">
        <f t="shared" si="2"/>
        <v>52141.498699999996</v>
      </c>
      <c r="D15" s="7" t="str">
        <f t="shared" si="3"/>
        <v>vis</v>
      </c>
      <c r="E15" s="16">
        <f>VLOOKUP(C15,ACTIVE!C$21:E$972,3,FALSE)</f>
        <v>39709.360254270454</v>
      </c>
      <c r="F15" s="1" t="s">
        <v>64</v>
      </c>
      <c r="G15" s="7" t="str">
        <f t="shared" si="4"/>
        <v>52141.4987</v>
      </c>
      <c r="H15" s="5">
        <f t="shared" si="5"/>
        <v>39709.5</v>
      </c>
      <c r="I15" s="17" t="s">
        <v>88</v>
      </c>
      <c r="J15" s="18" t="s">
        <v>89</v>
      </c>
      <c r="K15" s="17">
        <v>39709.5</v>
      </c>
      <c r="L15" s="17" t="s">
        <v>90</v>
      </c>
      <c r="M15" s="18" t="s">
        <v>69</v>
      </c>
      <c r="N15" s="18" t="s">
        <v>91</v>
      </c>
      <c r="O15" s="19" t="s">
        <v>80</v>
      </c>
      <c r="P15" s="20" t="s">
        <v>92</v>
      </c>
    </row>
    <row r="16" spans="1:16" ht="12.75" customHeight="1" thickBot="1" x14ac:dyDescent="0.25">
      <c r="A16" s="5" t="str">
        <f t="shared" si="0"/>
        <v>BAVM 173 </v>
      </c>
      <c r="B16" s="1" t="str">
        <f t="shared" si="1"/>
        <v>II</v>
      </c>
      <c r="C16" s="5">
        <f t="shared" si="2"/>
        <v>53206.454599999997</v>
      </c>
      <c r="D16" s="7" t="str">
        <f t="shared" si="3"/>
        <v>vis</v>
      </c>
      <c r="E16" s="16">
        <f>VLOOKUP(C16,ACTIVE!C$21:E$972,3,FALSE)</f>
        <v>42452.338711339136</v>
      </c>
      <c r="F16" s="1" t="s">
        <v>64</v>
      </c>
      <c r="G16" s="7" t="str">
        <f t="shared" si="4"/>
        <v>53206.4546</v>
      </c>
      <c r="H16" s="5">
        <f t="shared" si="5"/>
        <v>42452.5</v>
      </c>
      <c r="I16" s="17" t="s">
        <v>93</v>
      </c>
      <c r="J16" s="18" t="s">
        <v>94</v>
      </c>
      <c r="K16" s="17">
        <v>42452.5</v>
      </c>
      <c r="L16" s="17" t="s">
        <v>95</v>
      </c>
      <c r="M16" s="18" t="s">
        <v>69</v>
      </c>
      <c r="N16" s="18" t="s">
        <v>96</v>
      </c>
      <c r="O16" s="19" t="s">
        <v>97</v>
      </c>
      <c r="P16" s="20" t="s">
        <v>98</v>
      </c>
    </row>
    <row r="17" spans="1:16" ht="12.75" customHeight="1" thickBot="1" x14ac:dyDescent="0.25">
      <c r="A17" s="5" t="str">
        <f t="shared" si="0"/>
        <v>BAVM 178 </v>
      </c>
      <c r="B17" s="1" t="str">
        <f t="shared" si="1"/>
        <v>I</v>
      </c>
      <c r="C17" s="5">
        <f t="shared" si="2"/>
        <v>53565.3891</v>
      </c>
      <c r="D17" s="7" t="str">
        <f t="shared" si="3"/>
        <v>vis</v>
      </c>
      <c r="E17" s="16">
        <f>VLOOKUP(C17,ACTIVE!C$21:E$972,3,FALSE)</f>
        <v>43376.836712616678</v>
      </c>
      <c r="F17" s="1" t="s">
        <v>64</v>
      </c>
      <c r="G17" s="7" t="str">
        <f t="shared" si="4"/>
        <v>53565.3891</v>
      </c>
      <c r="H17" s="5">
        <f t="shared" si="5"/>
        <v>43377</v>
      </c>
      <c r="I17" s="17" t="s">
        <v>99</v>
      </c>
      <c r="J17" s="18" t="s">
        <v>100</v>
      </c>
      <c r="K17" s="17">
        <v>43377</v>
      </c>
      <c r="L17" s="17" t="s">
        <v>101</v>
      </c>
      <c r="M17" s="18" t="s">
        <v>102</v>
      </c>
      <c r="N17" s="18" t="s">
        <v>103</v>
      </c>
      <c r="O17" s="19" t="s">
        <v>104</v>
      </c>
      <c r="P17" s="20" t="s">
        <v>105</v>
      </c>
    </row>
    <row r="18" spans="1:16" ht="12.75" customHeight="1" thickBot="1" x14ac:dyDescent="0.25">
      <c r="A18" s="5" t="str">
        <f t="shared" si="0"/>
        <v> BBS 113 </v>
      </c>
      <c r="B18" s="1" t="str">
        <f t="shared" si="1"/>
        <v>I</v>
      </c>
      <c r="C18" s="5">
        <f t="shared" si="2"/>
        <v>50315.369700000003</v>
      </c>
      <c r="D18" s="7" t="str">
        <f t="shared" si="3"/>
        <v>vis</v>
      </c>
      <c r="E18" s="16">
        <f>VLOOKUP(C18,ACTIVE!C$21:E$972,3,FALSE)</f>
        <v>35005.848581319158</v>
      </c>
      <c r="F18" s="1" t="s">
        <v>64</v>
      </c>
      <c r="G18" s="7" t="str">
        <f t="shared" si="4"/>
        <v>50315.3697</v>
      </c>
      <c r="H18" s="5">
        <f t="shared" si="5"/>
        <v>35006</v>
      </c>
      <c r="I18" s="17" t="s">
        <v>73</v>
      </c>
      <c r="J18" s="18" t="s">
        <v>74</v>
      </c>
      <c r="K18" s="17">
        <v>35006</v>
      </c>
      <c r="L18" s="17" t="s">
        <v>75</v>
      </c>
      <c r="M18" s="18" t="s">
        <v>69</v>
      </c>
      <c r="N18" s="18" t="s">
        <v>70</v>
      </c>
      <c r="O18" s="19" t="s">
        <v>71</v>
      </c>
      <c r="P18" s="19" t="s">
        <v>76</v>
      </c>
    </row>
    <row r="19" spans="1:16" ht="12.75" customHeight="1" thickBot="1" x14ac:dyDescent="0.25">
      <c r="A19" s="5" t="str">
        <f t="shared" si="0"/>
        <v>OEJV 0137 </v>
      </c>
      <c r="B19" s="1" t="str">
        <f t="shared" si="1"/>
        <v>II</v>
      </c>
      <c r="C19" s="5">
        <f t="shared" si="2"/>
        <v>55388.405400000003</v>
      </c>
      <c r="D19" s="7" t="str">
        <f t="shared" si="3"/>
        <v>vis</v>
      </c>
      <c r="E19" s="16" t="e">
        <f>VLOOKUP(C19,ACTIVE!C$21:E$972,3,FALSE)</f>
        <v>#N/A</v>
      </c>
      <c r="F19" s="1" t="s">
        <v>64</v>
      </c>
      <c r="G19" s="7" t="str">
        <f t="shared" si="4"/>
        <v>55388.4054</v>
      </c>
      <c r="H19" s="5">
        <f t="shared" si="5"/>
        <v>48072.5</v>
      </c>
      <c r="I19" s="17" t="s">
        <v>106</v>
      </c>
      <c r="J19" s="18" t="s">
        <v>107</v>
      </c>
      <c r="K19" s="17" t="s">
        <v>108</v>
      </c>
      <c r="L19" s="17" t="s">
        <v>109</v>
      </c>
      <c r="M19" s="18" t="s">
        <v>102</v>
      </c>
      <c r="N19" s="18" t="s">
        <v>56</v>
      </c>
      <c r="O19" s="19" t="s">
        <v>110</v>
      </c>
      <c r="P19" s="20" t="s">
        <v>111</v>
      </c>
    </row>
    <row r="20" spans="1:16" x14ac:dyDescent="0.2">
      <c r="B20" s="1"/>
      <c r="E20" s="16"/>
      <c r="F20" s="1"/>
    </row>
    <row r="21" spans="1:16" x14ac:dyDescent="0.2">
      <c r="B21" s="1"/>
      <c r="E21" s="16"/>
      <c r="F21" s="1"/>
    </row>
    <row r="22" spans="1:16" x14ac:dyDescent="0.2">
      <c r="B22" s="1"/>
      <c r="E22" s="16"/>
      <c r="F22" s="1"/>
    </row>
    <row r="23" spans="1:16" x14ac:dyDescent="0.2">
      <c r="B23" s="1"/>
      <c r="E23" s="16"/>
      <c r="F23" s="1"/>
    </row>
    <row r="24" spans="1:16" x14ac:dyDescent="0.2">
      <c r="B24" s="1"/>
      <c r="E24" s="16"/>
      <c r="F24" s="1"/>
    </row>
    <row r="25" spans="1:16" x14ac:dyDescent="0.2">
      <c r="B25" s="1"/>
      <c r="E25" s="16"/>
      <c r="F25" s="1"/>
    </row>
    <row r="26" spans="1:16" x14ac:dyDescent="0.2">
      <c r="B26" s="1"/>
      <c r="E26" s="16"/>
      <c r="F26" s="1"/>
    </row>
    <row r="27" spans="1:16" x14ac:dyDescent="0.2">
      <c r="B27" s="1"/>
      <c r="E27" s="16"/>
      <c r="F27" s="1"/>
    </row>
    <row r="28" spans="1:16" x14ac:dyDescent="0.2">
      <c r="B28" s="1"/>
      <c r="E28" s="16"/>
      <c r="F28" s="1"/>
    </row>
    <row r="29" spans="1:16" x14ac:dyDescent="0.2">
      <c r="B29" s="1"/>
      <c r="E29" s="16"/>
      <c r="F29" s="1"/>
    </row>
    <row r="30" spans="1:16" x14ac:dyDescent="0.2">
      <c r="B30" s="1"/>
      <c r="E30" s="16"/>
      <c r="F30" s="1"/>
    </row>
    <row r="31" spans="1:16" x14ac:dyDescent="0.2">
      <c r="B31" s="1"/>
      <c r="E31" s="16"/>
      <c r="F31" s="1"/>
    </row>
    <row r="32" spans="1:16" x14ac:dyDescent="0.2">
      <c r="B32" s="1"/>
      <c r="E32" s="16"/>
      <c r="F32" s="1"/>
    </row>
    <row r="33" spans="2:6" x14ac:dyDescent="0.2">
      <c r="B33" s="1"/>
      <c r="E33" s="16"/>
      <c r="F33" s="1"/>
    </row>
    <row r="34" spans="2:6" x14ac:dyDescent="0.2">
      <c r="B34" s="1"/>
      <c r="F34" s="1"/>
    </row>
    <row r="35" spans="2:6" x14ac:dyDescent="0.2">
      <c r="B35" s="1"/>
      <c r="F35" s="1"/>
    </row>
    <row r="36" spans="2:6" x14ac:dyDescent="0.2">
      <c r="B36" s="1"/>
      <c r="F36" s="1"/>
    </row>
    <row r="37" spans="2:6" x14ac:dyDescent="0.2">
      <c r="B37" s="1"/>
      <c r="F37" s="1"/>
    </row>
    <row r="38" spans="2:6" x14ac:dyDescent="0.2">
      <c r="B38" s="1"/>
      <c r="F38" s="1"/>
    </row>
    <row r="39" spans="2:6" x14ac:dyDescent="0.2">
      <c r="B39" s="1"/>
      <c r="F39" s="1"/>
    </row>
    <row r="40" spans="2:6" x14ac:dyDescent="0.2">
      <c r="B40" s="1"/>
      <c r="F40" s="1"/>
    </row>
    <row r="41" spans="2:6" x14ac:dyDescent="0.2">
      <c r="B41" s="1"/>
      <c r="F41" s="1"/>
    </row>
    <row r="42" spans="2:6" x14ac:dyDescent="0.2">
      <c r="B42" s="1"/>
      <c r="F42" s="1"/>
    </row>
    <row r="43" spans="2:6" x14ac:dyDescent="0.2">
      <c r="B43" s="1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</sheetData>
  <phoneticPr fontId="7" type="noConversion"/>
  <hyperlinks>
    <hyperlink ref="P12" r:id="rId1" display="http://www.konkoly.hu/cgi-bin/IBVS?5263"/>
    <hyperlink ref="P13" r:id="rId2" display="http://www.konkoly.hu/cgi-bin/IBVS?5263"/>
    <hyperlink ref="P14" r:id="rId3" display="http://www.konkoly.hu/cgi-bin/IBVS?5263"/>
    <hyperlink ref="P15" r:id="rId4" display="http://www.konkoly.hu/cgi-bin/IBVS?5583"/>
    <hyperlink ref="P16" r:id="rId5" display="http://www.bav-astro.de/sfs/BAVM_link.php?BAVMnr=173"/>
    <hyperlink ref="P17" r:id="rId6" display="http://www.bav-astro.de/sfs/BAVM_link.php?BAVMnr=178"/>
    <hyperlink ref="P19" r:id="rId7" display="http://var.astro.cz/oejv/issues/oejv0137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2024-03-06T06:04:44Z</dcterms:modified>
</cp:coreProperties>
</file>