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AB280F-236D-4308-B389-A37908F72A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9" i="1" l="1"/>
  <c r="Q28" i="1"/>
  <c r="Q27" i="1"/>
  <c r="Q26" i="1"/>
  <c r="G19" i="2"/>
  <c r="C19" i="2"/>
  <c r="G18" i="2"/>
  <c r="C18" i="2"/>
  <c r="G17" i="2"/>
  <c r="C17" i="2"/>
  <c r="G16" i="2"/>
  <c r="C16" i="2"/>
  <c r="G14" i="2"/>
  <c r="C14" i="2"/>
  <c r="G13" i="2"/>
  <c r="C13" i="2"/>
  <c r="G15" i="2"/>
  <c r="C15" i="2"/>
  <c r="E15" i="2"/>
  <c r="G12" i="2"/>
  <c r="C12" i="2"/>
  <c r="E12" i="2"/>
  <c r="G11" i="2"/>
  <c r="C11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4" i="2"/>
  <c r="B14" i="2"/>
  <c r="D14" i="2"/>
  <c r="A14" i="2"/>
  <c r="H13" i="2"/>
  <c r="B13" i="2"/>
  <c r="D13" i="2"/>
  <c r="A13" i="2"/>
  <c r="H15" i="2"/>
  <c r="B15" i="2"/>
  <c r="D15" i="2"/>
  <c r="A15" i="2"/>
  <c r="H12" i="2"/>
  <c r="B12" i="2"/>
  <c r="D12" i="2"/>
  <c r="A12" i="2"/>
  <c r="H11" i="2"/>
  <c r="B11" i="2"/>
  <c r="D11" i="2"/>
  <c r="A11" i="2"/>
  <c r="F11" i="1"/>
  <c r="Q24" i="1"/>
  <c r="G11" i="1"/>
  <c r="E14" i="1"/>
  <c r="C17" i="1"/>
  <c r="Q25" i="1"/>
  <c r="Q23" i="1"/>
  <c r="Q22" i="1"/>
  <c r="C7" i="1"/>
  <c r="E23" i="1"/>
  <c r="F23" i="1"/>
  <c r="C8" i="1"/>
  <c r="Q21" i="1"/>
  <c r="E18" i="2"/>
  <c r="E13" i="2"/>
  <c r="E28" i="1"/>
  <c r="F28" i="1"/>
  <c r="E25" i="1"/>
  <c r="F25" i="1"/>
  <c r="G25" i="1"/>
  <c r="J25" i="1"/>
  <c r="G24" i="1"/>
  <c r="J24" i="1"/>
  <c r="E22" i="1"/>
  <c r="F22" i="1"/>
  <c r="G22" i="1"/>
  <c r="I22" i="1"/>
  <c r="G29" i="1"/>
  <c r="K29" i="1"/>
  <c r="E27" i="1"/>
  <c r="F27" i="1"/>
  <c r="G27" i="1"/>
  <c r="K27" i="1"/>
  <c r="E24" i="1"/>
  <c r="F24" i="1"/>
  <c r="G23" i="1"/>
  <c r="J23" i="1"/>
  <c r="E29" i="1"/>
  <c r="F29" i="1"/>
  <c r="E21" i="1"/>
  <c r="F21" i="1"/>
  <c r="G28" i="1"/>
  <c r="K28" i="1"/>
  <c r="E26" i="1"/>
  <c r="F26" i="1"/>
  <c r="G26" i="1"/>
  <c r="K26" i="1"/>
  <c r="E16" i="2"/>
  <c r="E14" i="2"/>
  <c r="E19" i="2"/>
  <c r="E17" i="2"/>
  <c r="E11" i="2"/>
  <c r="C12" i="1"/>
  <c r="C16" i="1" l="1"/>
  <c r="D18" i="1" s="1"/>
  <c r="E15" i="1"/>
  <c r="C11" i="1"/>
  <c r="O24" i="1" l="1"/>
  <c r="O23" i="1"/>
  <c r="O21" i="1"/>
  <c r="O27" i="1"/>
  <c r="O29" i="1"/>
  <c r="O25" i="1"/>
  <c r="O28" i="1"/>
  <c r="C15" i="1"/>
  <c r="O26" i="1"/>
  <c r="O22" i="1"/>
  <c r="C18" i="1" l="1"/>
  <c r="E16" i="1"/>
  <c r="E17" i="1" s="1"/>
</calcChain>
</file>

<file path=xl/sharedStrings.xml><?xml version="1.0" encoding="utf-8"?>
<sst xmlns="http://schemas.openxmlformats.org/spreadsheetml/2006/main" count="149" uniqueCount="109">
  <si>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</si>
  <si>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</si>
  <si>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</si>
  <si>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</si>
  <si>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</si>
  <si>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</si>
  <si>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</si>
  <si>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</si>
  <si>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</si>
  <si>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</si>
  <si>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</si>
  <si>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</si>
  <si>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</si>
  <si>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</si>
  <si>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</si>
  <si>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</si>
  <si>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</si>
  <si>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</si>
  <si>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</si>
  <si>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</si>
  <si>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</si>
  <si>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</si>
  <si>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</si>
  <si>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</si>
  <si>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</si>
  <si>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</si>
  <si>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</si>
  <si>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</si>
  <si>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</si>
  <si>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Bull.118</t>
  </si>
  <si>
    <t>B</t>
  </si>
  <si>
    <t>IBVS 5263</t>
  </si>
  <si>
    <t>I</t>
  </si>
  <si>
    <t># of data points:</t>
  </si>
  <si>
    <t>EA/SD</t>
  </si>
  <si>
    <t>FL Sge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</si>
  <si>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</si>
  <si>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</si>
  <si>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</si>
  <si>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</si>
  <si>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</si>
  <si>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</si>
  <si>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</si>
  <si>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Add cycle</t>
  </si>
  <si>
    <t>Old Cycle</t>
  </si>
  <si>
    <t>Start of linear fit &gt;&gt;&gt;&gt;&gt;&gt;&gt;&gt;&gt;&gt;&gt;&gt;&gt;&gt;&gt;&gt;&gt;&gt;&gt;&gt;&gt;</t>
  </si>
  <si>
    <t>OEJV 0074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</si>
  <si>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</si>
  <si>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</si>
  <si>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</si>
  <si>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</si>
  <si>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</si>
  <si>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</si>
  <si>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</si>
  <si>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</si>
  <si>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</si>
  <si>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</si>
  <si>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</si>
  <si>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2451034.433 </t>
  </si>
  <si>
    <t> 08.08.1998 22:23 </t>
  </si>
  <si>
    <t> 0.066 </t>
  </si>
  <si>
    <t>E </t>
  </si>
  <si>
    <t>?</t>
  </si>
  <si>
    <t> R.Diethelm </t>
  </si>
  <si>
    <t> BBS 118 </t>
  </si>
  <si>
    <t>2451394.4155 </t>
  </si>
  <si>
    <t> 03.08.1999 21:58 </t>
  </si>
  <si>
    <t> 0.0701 </t>
  </si>
  <si>
    <t> M.Zejda </t>
  </si>
  <si>
    <t>IBVS 5263 </t>
  </si>
  <si>
    <t>2452116.4749 </t>
  </si>
  <si>
    <t> 25.07.2001 23:23 </t>
  </si>
  <si>
    <t> 0.0790 </t>
  </si>
  <si>
    <t> BBS 126 </t>
  </si>
  <si>
    <t>2452137.40701 </t>
  </si>
  <si>
    <t> 15.08.2001 21:46 </t>
  </si>
  <si>
    <t> 0.08211 </t>
  </si>
  <si>
    <t>C </t>
  </si>
  <si>
    <t>o</t>
  </si>
  <si>
    <t> J.Šafár </t>
  </si>
  <si>
    <t>OEJV 0074 </t>
  </si>
  <si>
    <t>2453918.4879 </t>
  </si>
  <si>
    <t> 01.07.2006 23:42 </t>
  </si>
  <si>
    <t> 0.1051 </t>
  </si>
  <si>
    <t> R. Diethelm </t>
  </si>
  <si>
    <t> BBS 133 (=IBVS 5781) </t>
  </si>
  <si>
    <t>2454388.3450 </t>
  </si>
  <si>
    <t> 14.10.2007 20:16 </t>
  </si>
  <si>
    <t> 0.1062 </t>
  </si>
  <si>
    <t>-I</t>
  </si>
  <si>
    <t> F.Agerer </t>
  </si>
  <si>
    <t>BAVM 203 </t>
  </si>
  <si>
    <t>2454389.3930 </t>
  </si>
  <si>
    <t> 15.10.2007 21:25 </t>
  </si>
  <si>
    <t>12097</t>
  </si>
  <si>
    <t> 0.1077 </t>
  </si>
  <si>
    <t>BAVM 193 </t>
  </si>
  <si>
    <t>2454663.5610 </t>
  </si>
  <si>
    <t> 16.07.2008 01:27 </t>
  </si>
  <si>
    <t>12228</t>
  </si>
  <si>
    <t> 0.1058 </t>
  </si>
  <si>
    <t>2455067.5008 </t>
  </si>
  <si>
    <t> 24.08.2009 00:01 </t>
  </si>
  <si>
    <t>12421</t>
  </si>
  <si>
    <t> 0.1159 </t>
  </si>
  <si>
    <t>BAVM 212 </t>
  </si>
  <si>
    <t>II</t>
  </si>
  <si>
    <t>PE?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</si>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</sst>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Sge - O-C Diagr.</a:t>
            </a:r>
          </a:p>
        </c:rich>
      </c:tx>
      <c:layout>
        <c:manualLayout>
          <c:xMode val="edge"/>
          <c:yMode val="edge"/>
          <c:x val="0.358633776091081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0018975332067"/>
          <c:y val="0.15"/>
          <c:w val="0.7874762808349146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C4D-A511-88959CA932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6.6399999996065162E-2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C4D-A511-88959CA932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7.0099999997182749E-2</c:v>
                </c:pt>
                <c:pt idx="3">
                  <c:v>8.2110000003012829E-2</c:v>
                </c:pt>
                <c:pt idx="4">
                  <c:v>0.10510000000067521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72-4C4D-A511-88959CA932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">
                  <c:v>0.10614999999961583</c:v>
                </c:pt>
                <c:pt idx="6">
                  <c:v>0.10769999999320135</c:v>
                </c:pt>
                <c:pt idx="7">
                  <c:v>0.10580000000481959</c:v>
                </c:pt>
                <c:pt idx="8">
                  <c:v>0.11589999999705469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72-4C4D-A511-88959CA932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72-4C4D-A511-88959CA932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72-4C4D-A511-88959CA932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72-4C4D-A511-88959CA932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-0.19326637373990174</c:v>
                </c:pt>
                <c:pt idx="1">
                  <c:v>6.716360454886755E-2</c:v>
                </c:pt>
                <c:pt idx="2">
                  <c:v>7.1432134781921508E-2</c:v>
                </c:pt>
                <c:pt idx="3">
                  <c:v>8.0242182646655003E-2</c:v>
                </c:pt>
                <c:pt idx="4">
                  <c:v>0.10136148048577664</c:v>
                </c:pt>
                <c:pt idx="5">
                  <c:v>0.10693290512136161</c:v>
                </c:pt>
                <c:pt idx="6">
                  <c:v>0.10694531363948095</c:v>
                </c:pt>
                <c:pt idx="7">
                  <c:v>0.11019634538674883</c:v>
                </c:pt>
                <c:pt idx="8">
                  <c:v>0.1149860333808152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72-4C4D-A511-88959CA93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478048"/>
        <c:axId val="1"/>
      </c:scatterChart>
      <c:valAx>
        <c:axId val="675478048"/>
        <c:scaling>
          <c:orientation val="minMax"/>
          <c:max val="13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9240986717267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2846299810246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47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20872865275142E-2"/>
          <c:y val="0.91874999999999996"/>
          <c:w val="0.9222011385199241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Sge - O-C Diagr.</a:t>
            </a:r>
          </a:p>
        </c:rich>
      </c:tx>
      <c:layout>
        <c:manualLayout>
          <c:xMode val="edge"/>
          <c:yMode val="edge"/>
          <c:x val="0.3579551419708899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98514623495619"/>
          <c:y val="0.14953316519776211"/>
          <c:w val="0.7803044735153170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3F-4DD0-BEAC-47A65B06C7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6.6399999996065162E-2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3F-4DD0-BEAC-47A65B06C7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7.0099999997182749E-2</c:v>
                </c:pt>
                <c:pt idx="3">
                  <c:v>8.2110000003012829E-2</c:v>
                </c:pt>
                <c:pt idx="4">
                  <c:v>0.10510000000067521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3F-4DD0-BEAC-47A65B06C7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">
                  <c:v>0.10614999999961583</c:v>
                </c:pt>
                <c:pt idx="6">
                  <c:v>0.10769999999320135</c:v>
                </c:pt>
                <c:pt idx="7">
                  <c:v>0.10580000000481959</c:v>
                </c:pt>
                <c:pt idx="8">
                  <c:v>0.11589999999705469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3F-4DD0-BEAC-47A65B06C7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3F-4DD0-BEAC-47A65B06C7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3F-4DD0-BEAC-47A65B06C7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8.9999999999999993E-3</c:v>
                  </c:pt>
                  <c:pt idx="3">
                    <c:v>3.3E-3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3F-4DD0-BEAC-47A65B06C7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10494</c:v>
                </c:pt>
                <c:pt idx="2">
                  <c:v>10666</c:v>
                </c:pt>
                <c:pt idx="3">
                  <c:v>11021</c:v>
                </c:pt>
                <c:pt idx="4">
                  <c:v>11872</c:v>
                </c:pt>
                <c:pt idx="5">
                  <c:v>12096.5</c:v>
                </c:pt>
                <c:pt idx="6">
                  <c:v>12097</c:v>
                </c:pt>
                <c:pt idx="7">
                  <c:v>12228</c:v>
                </c:pt>
                <c:pt idx="8">
                  <c:v>12421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-0.19326637373990174</c:v>
                </c:pt>
                <c:pt idx="1">
                  <c:v>6.716360454886755E-2</c:v>
                </c:pt>
                <c:pt idx="2">
                  <c:v>7.1432134781921508E-2</c:v>
                </c:pt>
                <c:pt idx="3">
                  <c:v>8.0242182646655003E-2</c:v>
                </c:pt>
                <c:pt idx="4">
                  <c:v>0.10136148048577664</c:v>
                </c:pt>
                <c:pt idx="5">
                  <c:v>0.10693290512136161</c:v>
                </c:pt>
                <c:pt idx="6">
                  <c:v>0.10694531363948095</c:v>
                </c:pt>
                <c:pt idx="7">
                  <c:v>0.11019634538674883</c:v>
                </c:pt>
                <c:pt idx="8">
                  <c:v>0.1149860333808152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3F-4DD0-BEAC-47A65B06C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435264"/>
        <c:axId val="1"/>
      </c:scatterChart>
      <c:valAx>
        <c:axId val="7444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2220631511969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2444126302394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435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1969895808478485E-2"/>
          <c:y val="0.91900605882208652"/>
          <c:w val="0.9204563350035790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17</xdr:col>
      <xdr:colOff>171450</xdr:colOff>
      <xdr:row>18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79A1544-8B67-4D1E-FE3B-A414B41AA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27</xdr:col>
      <xdr:colOff>238125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EA04E12-5768-9AFD-FA8B-F66546D2A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8" customFormat="1" ht="20.25" x14ac:dyDescent="0.2">
      <c r="A1" s="26" t="s">
        <v>35</v>
      </c>
      <c r="B1" s="27"/>
    </row>
    <row r="2" spans="1:7" s="28" customFormat="1" ht="12.95" customHeight="1" x14ac:dyDescent="0.2">
      <c r="A2" s="28" t="s">
        <v>24</v>
      </c>
      <c r="B2" s="29" t="s">
        <v>34</v>
      </c>
    </row>
    <row r="3" spans="1:7" s="28" customFormat="1" ht="12.95" customHeight="1" x14ac:dyDescent="0.2">
      <c r="B3" s="27"/>
    </row>
    <row r="4" spans="1:7" s="28" customFormat="1" ht="12.95" customHeight="1" x14ac:dyDescent="0.2">
      <c r="A4" s="30" t="s">
        <v>0</v>
      </c>
      <c r="B4" s="27"/>
      <c r="C4" s="31">
        <v>29071.473999999998</v>
      </c>
      <c r="D4" s="32">
        <v>2.0929000000000002</v>
      </c>
    </row>
    <row r="5" spans="1:7" s="28" customFormat="1" ht="12.95" customHeight="1" x14ac:dyDescent="0.2">
      <c r="B5" s="27"/>
    </row>
    <row r="6" spans="1:7" s="28" customFormat="1" ht="12.95" customHeight="1" x14ac:dyDescent="0.2">
      <c r="A6" s="30" t="s">
        <v>1</v>
      </c>
      <c r="B6" s="27"/>
    </row>
    <row r="7" spans="1:7" s="28" customFormat="1" ht="12.95" customHeight="1" x14ac:dyDescent="0.2">
      <c r="A7" s="28" t="s">
        <v>2</v>
      </c>
      <c r="B7" s="27"/>
      <c r="C7" s="28">
        <f>+C4</f>
        <v>29071.473999999998</v>
      </c>
    </row>
    <row r="8" spans="1:7" s="28" customFormat="1" ht="12.95" customHeight="1" x14ac:dyDescent="0.2">
      <c r="A8" s="28" t="s">
        <v>3</v>
      </c>
      <c r="B8" s="27"/>
      <c r="C8" s="28">
        <f>+D4</f>
        <v>2.0929000000000002</v>
      </c>
    </row>
    <row r="9" spans="1:7" s="28" customFormat="1" ht="12.95" customHeight="1" x14ac:dyDescent="0.2">
      <c r="A9" s="33" t="s">
        <v>36</v>
      </c>
      <c r="C9" s="34">
        <v>-9.5</v>
      </c>
      <c r="D9" s="28" t="s">
        <v>37</v>
      </c>
    </row>
    <row r="10" spans="1:7" s="28" customFormat="1" ht="12.95" customHeight="1" thickBot="1" x14ac:dyDescent="0.25">
      <c r="C10" s="35" t="s">
        <v>20</v>
      </c>
      <c r="D10" s="35" t="s">
        <v>21</v>
      </c>
    </row>
    <row r="11" spans="1:7" s="28" customFormat="1" ht="12.95" customHeight="1" x14ac:dyDescent="0.2">
      <c r="A11" s="28" t="s">
        <v>16</v>
      </c>
      <c r="C11" s="36">
        <f ca="1">INTERCEPT(INDIRECT($G$11):G992,INDIRECT($F$11):F992)</f>
        <v>-0.19326637373990174</v>
      </c>
      <c r="D11" s="27"/>
      <c r="F11" s="37" t="str">
        <f>"F"&amp;E19</f>
        <v>F21</v>
      </c>
      <c r="G11" s="36" t="str">
        <f>"G"&amp;E19</f>
        <v>G21</v>
      </c>
    </row>
    <row r="12" spans="1:7" s="28" customFormat="1" ht="12.95" customHeight="1" x14ac:dyDescent="0.2">
      <c r="A12" s="28" t="s">
        <v>17</v>
      </c>
      <c r="C12" s="36">
        <f ca="1">SLOPE(INDIRECT($G$11):G992,INDIRECT($F$11):F992)</f>
        <v>2.4817036238685849E-5</v>
      </c>
      <c r="D12" s="27"/>
    </row>
    <row r="13" spans="1:7" s="28" customFormat="1" ht="12.95" customHeight="1" x14ac:dyDescent="0.2">
      <c r="A13" s="28" t="s">
        <v>19</v>
      </c>
      <c r="C13" s="27" t="s">
        <v>14</v>
      </c>
      <c r="D13" s="38" t="s">
        <v>43</v>
      </c>
      <c r="E13" s="34">
        <v>1</v>
      </c>
    </row>
    <row r="14" spans="1:7" s="28" customFormat="1" ht="12.95" customHeight="1" x14ac:dyDescent="0.2">
      <c r="D14" s="38" t="s">
        <v>38</v>
      </c>
      <c r="E14" s="39">
        <f ca="1">NOW()+15018.5+$C$9/24</f>
        <v>60375.79715381944</v>
      </c>
    </row>
    <row r="15" spans="1:7" s="28" customFormat="1" ht="12.95" customHeight="1" x14ac:dyDescent="0.2">
      <c r="A15" s="40" t="s">
        <v>18</v>
      </c>
      <c r="C15" s="41">
        <f ca="1">(C7+C11)+(C8+C12)*INT(MAX(F21:F3533))</f>
        <v>55067.49988603338</v>
      </c>
      <c r="D15" s="38" t="s">
        <v>44</v>
      </c>
      <c r="E15" s="39">
        <f ca="1">ROUND(2*(E14-$C$7)/$C$8,0)/2+E13</f>
        <v>14958.5</v>
      </c>
    </row>
    <row r="16" spans="1:7" s="28" customFormat="1" ht="12.95" customHeight="1" x14ac:dyDescent="0.2">
      <c r="A16" s="30" t="s">
        <v>4</v>
      </c>
      <c r="C16" s="42">
        <f ca="1">+C8+C12</f>
        <v>2.0929248170362387</v>
      </c>
      <c r="D16" s="38" t="s">
        <v>39</v>
      </c>
      <c r="E16" s="36">
        <f ca="1">ROUND(2*(E14-$C$15)/$C$16,0)/2+E13</f>
        <v>2537.5</v>
      </c>
    </row>
    <row r="17" spans="1:31" s="28" customFormat="1" ht="12.95" customHeight="1" thickBot="1" x14ac:dyDescent="0.25">
      <c r="A17" s="38" t="s">
        <v>33</v>
      </c>
      <c r="C17" s="28">
        <f>COUNT(C21:C2191)</f>
        <v>9</v>
      </c>
      <c r="D17" s="38" t="s">
        <v>40</v>
      </c>
      <c r="E17" s="43">
        <f ca="1">+$C$15+$C$16*E16-15018.5-$C$9/24</f>
        <v>45360.19244259617</v>
      </c>
    </row>
    <row r="18" spans="1:31" s="28" customFormat="1" ht="12.95" customHeight="1" x14ac:dyDescent="0.2">
      <c r="A18" s="30" t="s">
        <v>5</v>
      </c>
      <c r="C18" s="31">
        <f ca="1">+C15</f>
        <v>55067.49988603338</v>
      </c>
      <c r="D18" s="32">
        <f ca="1">+C16</f>
        <v>2.0929248170362387</v>
      </c>
      <c r="E18" s="44" t="s">
        <v>41</v>
      </c>
    </row>
    <row r="19" spans="1:31" s="28" customFormat="1" ht="12.95" customHeight="1" thickTop="1" x14ac:dyDescent="0.2">
      <c r="A19" s="45" t="s">
        <v>45</v>
      </c>
      <c r="E19" s="46">
        <v>21</v>
      </c>
    </row>
    <row r="20" spans="1:31" s="28" customFormat="1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7" t="s">
        <v>12</v>
      </c>
      <c r="I20" s="47" t="s">
        <v>57</v>
      </c>
      <c r="J20" s="47" t="s">
        <v>107</v>
      </c>
      <c r="K20" s="47" t="s">
        <v>108</v>
      </c>
      <c r="L20" s="47" t="s">
        <v>25</v>
      </c>
      <c r="M20" s="47" t="s">
        <v>26</v>
      </c>
      <c r="N20" s="47" t="s">
        <v>27</v>
      </c>
      <c r="O20" s="47" t="s">
        <v>23</v>
      </c>
      <c r="P20" s="48" t="s">
        <v>22</v>
      </c>
      <c r="Q20" s="35" t="s">
        <v>15</v>
      </c>
    </row>
    <row r="21" spans="1:31" s="28" customFormat="1" ht="12.95" customHeight="1" x14ac:dyDescent="0.2">
      <c r="A21" s="28" t="s">
        <v>12</v>
      </c>
      <c r="B21" s="27"/>
      <c r="C21" s="49">
        <v>29071.473999999998</v>
      </c>
      <c r="D21" s="49" t="s">
        <v>14</v>
      </c>
      <c r="E21" s="28">
        <f t="shared" ref="E21:E29" si="0">+(C21-C$7)/C$8</f>
        <v>0</v>
      </c>
      <c r="F21" s="28">
        <f t="shared" ref="F21:F29" si="1">ROUND(2*E21,0)/2</f>
        <v>0</v>
      </c>
      <c r="H21" s="36">
        <v>0</v>
      </c>
      <c r="O21" s="28">
        <f t="shared" ref="O21:O29" ca="1" si="2">+C$11+C$12*$F21</f>
        <v>-0.19326637373990174</v>
      </c>
      <c r="Q21" s="50">
        <f t="shared" ref="Q21:Q29" si="3">+C21-15018.5</f>
        <v>14052.973999999998</v>
      </c>
    </row>
    <row r="22" spans="1:31" s="28" customFormat="1" ht="12.95" customHeight="1" x14ac:dyDescent="0.2">
      <c r="A22" s="28" t="s">
        <v>29</v>
      </c>
      <c r="B22" s="27"/>
      <c r="C22" s="49">
        <v>51034.432999999997</v>
      </c>
      <c r="D22" s="49">
        <v>2E-3</v>
      </c>
      <c r="E22" s="28">
        <f t="shared" si="0"/>
        <v>10494.031726312771</v>
      </c>
      <c r="F22" s="28">
        <f t="shared" si="1"/>
        <v>10494</v>
      </c>
      <c r="G22" s="28">
        <f t="shared" ref="G22:G29" si="4">+C22-(C$7+F22*C$8)</f>
        <v>6.6399999996065162E-2</v>
      </c>
      <c r="I22" s="28">
        <f>+G22</f>
        <v>6.6399999996065162E-2</v>
      </c>
      <c r="O22" s="28">
        <f t="shared" ca="1" si="2"/>
        <v>6.716360454886755E-2</v>
      </c>
      <c r="Q22" s="50">
        <f t="shared" si="3"/>
        <v>36015.932999999997</v>
      </c>
      <c r="AA22" s="28">
        <v>9</v>
      </c>
      <c r="AC22" s="28" t="s">
        <v>28</v>
      </c>
      <c r="AE22" s="28" t="s">
        <v>30</v>
      </c>
    </row>
    <row r="23" spans="1:31" ht="12.95" customHeight="1" x14ac:dyDescent="0.2">
      <c r="A23" t="s">
        <v>31</v>
      </c>
      <c r="B23" s="3" t="s">
        <v>32</v>
      </c>
      <c r="C23" s="6">
        <v>51394.415500000003</v>
      </c>
      <c r="D23" s="6">
        <v>8.9999999999999993E-3</v>
      </c>
      <c r="E23">
        <f t="shared" si="0"/>
        <v>10666.033494194658</v>
      </c>
      <c r="F23">
        <f t="shared" si="1"/>
        <v>10666</v>
      </c>
      <c r="G23">
        <f t="shared" si="4"/>
        <v>7.0099999997182749E-2</v>
      </c>
      <c r="J23">
        <f>+G23</f>
        <v>7.0099999997182749E-2</v>
      </c>
      <c r="O23">
        <f t="shared" ca="1" si="2"/>
        <v>7.1432134781921508E-2</v>
      </c>
      <c r="Q23" s="1">
        <f t="shared" si="3"/>
        <v>36375.915500000003</v>
      </c>
    </row>
    <row r="24" spans="1:31" x14ac:dyDescent="0.2">
      <c r="A24" s="8" t="s">
        <v>46</v>
      </c>
      <c r="B24" s="9" t="s">
        <v>32</v>
      </c>
      <c r="C24" s="8">
        <v>52137.407010000003</v>
      </c>
      <c r="D24" s="8">
        <v>3.3E-3</v>
      </c>
      <c r="E24">
        <f t="shared" si="0"/>
        <v>11021.039232643701</v>
      </c>
      <c r="F24">
        <f t="shared" si="1"/>
        <v>11021</v>
      </c>
      <c r="G24">
        <f t="shared" si="4"/>
        <v>8.2110000003012829E-2</v>
      </c>
      <c r="J24">
        <f>+G24</f>
        <v>8.2110000003012829E-2</v>
      </c>
      <c r="O24">
        <f t="shared" ca="1" si="2"/>
        <v>8.0242182646655003E-2</v>
      </c>
      <c r="Q24" s="1">
        <f t="shared" si="3"/>
        <v>37118.907010000003</v>
      </c>
    </row>
    <row r="25" spans="1:31" x14ac:dyDescent="0.2">
      <c r="A25" s="7" t="s">
        <v>42</v>
      </c>
      <c r="B25" s="2" t="s">
        <v>32</v>
      </c>
      <c r="C25" s="6">
        <v>53918.4879</v>
      </c>
      <c r="D25" s="4">
        <v>5.9999999999999995E-4</v>
      </c>
      <c r="E25">
        <f t="shared" si="0"/>
        <v>11872.050217401691</v>
      </c>
      <c r="F25">
        <f t="shared" si="1"/>
        <v>11872</v>
      </c>
      <c r="G25">
        <f t="shared" si="4"/>
        <v>0.10510000000067521</v>
      </c>
      <c r="J25">
        <f>+G25</f>
        <v>0.10510000000067521</v>
      </c>
      <c r="O25">
        <f t="shared" ca="1" si="2"/>
        <v>0.10136148048577664</v>
      </c>
      <c r="Q25" s="1">
        <f t="shared" si="3"/>
        <v>38899.9879</v>
      </c>
    </row>
    <row r="26" spans="1:31" x14ac:dyDescent="0.2">
      <c r="A26" s="23" t="s">
        <v>91</v>
      </c>
      <c r="B26" s="24" t="s">
        <v>106</v>
      </c>
      <c r="C26" s="25">
        <v>54388.345000000001</v>
      </c>
      <c r="D26" s="6"/>
      <c r="E26">
        <f t="shared" si="0"/>
        <v>12096.550719097902</v>
      </c>
      <c r="F26">
        <f t="shared" si="1"/>
        <v>12096.5</v>
      </c>
      <c r="G26">
        <f t="shared" si="4"/>
        <v>0.10614999999961583</v>
      </c>
      <c r="K26">
        <f>+G26</f>
        <v>0.10614999999961583</v>
      </c>
      <c r="O26">
        <f t="shared" ca="1" si="2"/>
        <v>0.10693290512136161</v>
      </c>
      <c r="Q26" s="1">
        <f t="shared" si="3"/>
        <v>39369.845000000001</v>
      </c>
    </row>
    <row r="27" spans="1:31" x14ac:dyDescent="0.2">
      <c r="A27" s="23" t="s">
        <v>96</v>
      </c>
      <c r="B27" s="24" t="s">
        <v>32</v>
      </c>
      <c r="C27" s="25">
        <v>54389.392999999996</v>
      </c>
      <c r="D27" s="4"/>
      <c r="E27">
        <f t="shared" si="0"/>
        <v>12097.05145969707</v>
      </c>
      <c r="F27">
        <f t="shared" si="1"/>
        <v>12097</v>
      </c>
      <c r="G27">
        <f t="shared" si="4"/>
        <v>0.10769999999320135</v>
      </c>
      <c r="K27">
        <f>+G27</f>
        <v>0.10769999999320135</v>
      </c>
      <c r="O27">
        <f t="shared" ca="1" si="2"/>
        <v>0.10694531363948095</v>
      </c>
      <c r="Q27" s="1">
        <f t="shared" si="3"/>
        <v>39370.892999999996</v>
      </c>
    </row>
    <row r="28" spans="1:31" x14ac:dyDescent="0.2">
      <c r="A28" s="23" t="s">
        <v>91</v>
      </c>
      <c r="B28" s="24" t="s">
        <v>32</v>
      </c>
      <c r="C28" s="25">
        <v>54663.561000000002</v>
      </c>
      <c r="D28" s="4"/>
      <c r="E28">
        <f t="shared" si="0"/>
        <v>12228.050551865832</v>
      </c>
      <c r="F28">
        <f t="shared" si="1"/>
        <v>12228</v>
      </c>
      <c r="G28">
        <f t="shared" si="4"/>
        <v>0.10580000000481959</v>
      </c>
      <c r="K28">
        <f>+G28</f>
        <v>0.10580000000481959</v>
      </c>
      <c r="O28">
        <f t="shared" ca="1" si="2"/>
        <v>0.11019634538674883</v>
      </c>
      <c r="Q28" s="1">
        <f t="shared" si="3"/>
        <v>39645.061000000002</v>
      </c>
    </row>
    <row r="29" spans="1:31" x14ac:dyDescent="0.2">
      <c r="A29" s="23" t="s">
        <v>105</v>
      </c>
      <c r="B29" s="24" t="s">
        <v>32</v>
      </c>
      <c r="C29" s="25">
        <v>55067.500800000002</v>
      </c>
      <c r="D29" s="4"/>
      <c r="E29">
        <f t="shared" si="0"/>
        <v>12421.055377705576</v>
      </c>
      <c r="F29">
        <f t="shared" si="1"/>
        <v>12421</v>
      </c>
      <c r="G29">
        <f t="shared" si="4"/>
        <v>0.11589999999705469</v>
      </c>
      <c r="K29">
        <f>+G29</f>
        <v>0.11589999999705469</v>
      </c>
      <c r="O29">
        <f t="shared" ca="1" si="2"/>
        <v>0.1149860333808152</v>
      </c>
      <c r="Q29" s="1">
        <f t="shared" si="3"/>
        <v>40049.000800000002</v>
      </c>
    </row>
    <row r="30" spans="1:31" x14ac:dyDescent="0.2">
      <c r="C30" s="4"/>
      <c r="D30" s="4"/>
    </row>
    <row r="31" spans="1:31" x14ac:dyDescent="0.2">
      <c r="C31" s="4"/>
      <c r="D31" s="4"/>
    </row>
    <row r="32" spans="1:31" x14ac:dyDescent="0.2">
      <c r="C32" s="4"/>
      <c r="D32" s="4"/>
    </row>
    <row r="33" spans="3:4" x14ac:dyDescent="0.2">
      <c r="C33" s="4"/>
      <c r="D33" s="4"/>
    </row>
    <row r="34" spans="3:4" x14ac:dyDescent="0.2">
      <c r="C34" s="4"/>
      <c r="D34" s="4"/>
    </row>
    <row r="35" spans="3:4" x14ac:dyDescent="0.2">
      <c r="C35" s="4"/>
      <c r="D35" s="4"/>
    </row>
    <row r="36" spans="3:4" x14ac:dyDescent="0.2">
      <c r="C36" s="4"/>
      <c r="D36" s="4"/>
    </row>
    <row r="37" spans="3:4" x14ac:dyDescent="0.2">
      <c r="C37" s="4"/>
      <c r="D37" s="4"/>
    </row>
    <row r="38" spans="3:4" x14ac:dyDescent="0.2">
      <c r="C38" s="4"/>
      <c r="D38" s="4"/>
    </row>
    <row r="39" spans="3:4" x14ac:dyDescent="0.2">
      <c r="C39" s="4"/>
      <c r="D39" s="4"/>
    </row>
    <row r="40" spans="3:4" x14ac:dyDescent="0.2">
      <c r="C40" s="4"/>
      <c r="D40" s="4"/>
    </row>
    <row r="41" spans="3:4" x14ac:dyDescent="0.2">
      <c r="C41" s="4"/>
      <c r="D41" s="4"/>
    </row>
    <row r="42" spans="3:4" x14ac:dyDescent="0.2">
      <c r="C42" s="4"/>
      <c r="D42" s="4"/>
    </row>
    <row r="43" spans="3:4" x14ac:dyDescent="0.2">
      <c r="C43" s="4"/>
      <c r="D43" s="4"/>
    </row>
    <row r="44" spans="3:4" x14ac:dyDescent="0.2">
      <c r="C44" s="4"/>
      <c r="D44" s="4"/>
    </row>
    <row r="45" spans="3:4" x14ac:dyDescent="0.2">
      <c r="C45" s="4"/>
      <c r="D45" s="4"/>
    </row>
    <row r="46" spans="3:4" x14ac:dyDescent="0.2">
      <c r="C46" s="4"/>
      <c r="D46" s="4"/>
    </row>
    <row r="47" spans="3:4" x14ac:dyDescent="0.2">
      <c r="C47" s="4"/>
      <c r="D47" s="4"/>
    </row>
    <row r="48" spans="3:4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workbookViewId="0">
      <selection activeCell="A16" sqref="A16:C19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0" t="s">
        <v>47</v>
      </c>
      <c r="I1" s="11" t="s">
        <v>48</v>
      </c>
      <c r="J1" s="12" t="s">
        <v>49</v>
      </c>
    </row>
    <row r="2" spans="1:16" x14ac:dyDescent="0.2">
      <c r="I2" s="13" t="s">
        <v>50</v>
      </c>
      <c r="J2" s="14" t="s">
        <v>51</v>
      </c>
    </row>
    <row r="3" spans="1:16" x14ac:dyDescent="0.2">
      <c r="A3" s="15" t="s">
        <v>52</v>
      </c>
      <c r="I3" s="13" t="s">
        <v>53</v>
      </c>
      <c r="J3" s="14" t="s">
        <v>54</v>
      </c>
    </row>
    <row r="4" spans="1:16" x14ac:dyDescent="0.2">
      <c r="I4" s="13" t="s">
        <v>55</v>
      </c>
      <c r="J4" s="14" t="s">
        <v>54</v>
      </c>
    </row>
    <row r="5" spans="1:16" ht="13.5" thickBot="1" x14ac:dyDescent="0.25">
      <c r="I5" s="16" t="s">
        <v>56</v>
      </c>
      <c r="J5" s="17" t="s">
        <v>57</v>
      </c>
    </row>
    <row r="10" spans="1:16" ht="13.5" thickBot="1" x14ac:dyDescent="0.25"/>
    <row r="11" spans="1:16" ht="12.75" customHeight="1" thickBot="1" x14ac:dyDescent="0.25">
      <c r="A11" s="4" t="str">
        <f t="shared" ref="A11:A19" si="0">P11</f>
        <v> BBS 118 </v>
      </c>
      <c r="B11" s="2" t="str">
        <f t="shared" ref="B11:B19" si="1">IF(H11=INT(H11),"I","II")</f>
        <v>I</v>
      </c>
      <c r="C11" s="4">
        <f t="shared" ref="C11:C19" si="2">1*G11</f>
        <v>51034.432999999997</v>
      </c>
      <c r="D11" s="5" t="str">
        <f t="shared" ref="D11:D19" si="3">VLOOKUP(F11,I$1:J$5,2,FALSE)</f>
        <v>vis</v>
      </c>
      <c r="E11" s="18">
        <f>VLOOKUP(C11,Active!C$21:E$973,3,FALSE)</f>
        <v>10494.031726312771</v>
      </c>
      <c r="F11" s="2" t="s">
        <v>56</v>
      </c>
      <c r="G11" s="5" t="str">
        <f t="shared" ref="G11:G19" si="4">MID(I11,3,LEN(I11)-3)</f>
        <v>51034.433</v>
      </c>
      <c r="H11" s="4">
        <f t="shared" ref="H11:H19" si="5">1*K11</f>
        <v>10494</v>
      </c>
      <c r="I11" s="19" t="s">
        <v>58</v>
      </c>
      <c r="J11" s="20" t="s">
        <v>59</v>
      </c>
      <c r="K11" s="19">
        <v>10494</v>
      </c>
      <c r="L11" s="19" t="s">
        <v>60</v>
      </c>
      <c r="M11" s="20" t="s">
        <v>61</v>
      </c>
      <c r="N11" s="20" t="s">
        <v>62</v>
      </c>
      <c r="O11" s="21" t="s">
        <v>63</v>
      </c>
      <c r="P11" s="21" t="s">
        <v>64</v>
      </c>
    </row>
    <row r="12" spans="1:16" ht="12.75" customHeight="1" thickBot="1" x14ac:dyDescent="0.25">
      <c r="A12" s="4" t="str">
        <f t="shared" si="0"/>
        <v>IBVS 5263 </v>
      </c>
      <c r="B12" s="2" t="str">
        <f t="shared" si="1"/>
        <v>I</v>
      </c>
      <c r="C12" s="4">
        <f t="shared" si="2"/>
        <v>51394.415500000003</v>
      </c>
      <c r="D12" s="5" t="str">
        <f t="shared" si="3"/>
        <v>vis</v>
      </c>
      <c r="E12" s="18">
        <f>VLOOKUP(C12,Active!C$21:E$973,3,FALSE)</f>
        <v>10666.033494194658</v>
      </c>
      <c r="F12" s="2" t="s">
        <v>56</v>
      </c>
      <c r="G12" s="5" t="str">
        <f t="shared" si="4"/>
        <v>51394.4155</v>
      </c>
      <c r="H12" s="4">
        <f t="shared" si="5"/>
        <v>10666</v>
      </c>
      <c r="I12" s="19" t="s">
        <v>65</v>
      </c>
      <c r="J12" s="20" t="s">
        <v>66</v>
      </c>
      <c r="K12" s="19">
        <v>10666</v>
      </c>
      <c r="L12" s="19" t="s">
        <v>67</v>
      </c>
      <c r="M12" s="20" t="s">
        <v>61</v>
      </c>
      <c r="N12" s="20" t="s">
        <v>62</v>
      </c>
      <c r="O12" s="21" t="s">
        <v>68</v>
      </c>
      <c r="P12" s="22" t="s">
        <v>69</v>
      </c>
    </row>
    <row r="13" spans="1:16" ht="12.75" customHeight="1" thickBot="1" x14ac:dyDescent="0.25">
      <c r="A13" s="4" t="str">
        <f t="shared" si="0"/>
        <v>OEJV 0074 </v>
      </c>
      <c r="B13" s="2" t="str">
        <f t="shared" si="1"/>
        <v>I</v>
      </c>
      <c r="C13" s="4">
        <f t="shared" si="2"/>
        <v>52137.407010000003</v>
      </c>
      <c r="D13" s="5" t="str">
        <f t="shared" si="3"/>
        <v>vis</v>
      </c>
      <c r="E13" s="18">
        <f>VLOOKUP(C13,Active!C$21:E$973,3,FALSE)</f>
        <v>11021.039232643701</v>
      </c>
      <c r="F13" s="2" t="s">
        <v>56</v>
      </c>
      <c r="G13" s="5" t="str">
        <f t="shared" si="4"/>
        <v>52137.40701</v>
      </c>
      <c r="H13" s="4">
        <f t="shared" si="5"/>
        <v>11021</v>
      </c>
      <c r="I13" s="19" t="s">
        <v>74</v>
      </c>
      <c r="J13" s="20" t="s">
        <v>75</v>
      </c>
      <c r="K13" s="19">
        <v>11021</v>
      </c>
      <c r="L13" s="19" t="s">
        <v>76</v>
      </c>
      <c r="M13" s="20" t="s">
        <v>77</v>
      </c>
      <c r="N13" s="20" t="s">
        <v>78</v>
      </c>
      <c r="O13" s="21" t="s">
        <v>79</v>
      </c>
      <c r="P13" s="22" t="s">
        <v>80</v>
      </c>
    </row>
    <row r="14" spans="1:16" ht="12.75" customHeight="1" thickBot="1" x14ac:dyDescent="0.25">
      <c r="A14" s="4" t="str">
        <f t="shared" si="0"/>
        <v> BBS 133 (=IBVS 5781) </v>
      </c>
      <c r="B14" s="2" t="str">
        <f t="shared" si="1"/>
        <v>I</v>
      </c>
      <c r="C14" s="4">
        <f t="shared" si="2"/>
        <v>53918.4879</v>
      </c>
      <c r="D14" s="5" t="str">
        <f t="shared" si="3"/>
        <v>vis</v>
      </c>
      <c r="E14" s="18">
        <f>VLOOKUP(C14,Active!C$21:E$973,3,FALSE)</f>
        <v>11872.050217401691</v>
      </c>
      <c r="F14" s="2" t="s">
        <v>56</v>
      </c>
      <c r="G14" s="5" t="str">
        <f t="shared" si="4"/>
        <v>53918.4879</v>
      </c>
      <c r="H14" s="4">
        <f t="shared" si="5"/>
        <v>11872</v>
      </c>
      <c r="I14" s="19" t="s">
        <v>81</v>
      </c>
      <c r="J14" s="20" t="s">
        <v>82</v>
      </c>
      <c r="K14" s="19">
        <v>11872</v>
      </c>
      <c r="L14" s="19" t="s">
        <v>83</v>
      </c>
      <c r="M14" s="20" t="s">
        <v>77</v>
      </c>
      <c r="N14" s="20" t="s">
        <v>56</v>
      </c>
      <c r="O14" s="21" t="s">
        <v>84</v>
      </c>
      <c r="P14" s="21" t="s">
        <v>85</v>
      </c>
    </row>
    <row r="15" spans="1:16" ht="12.75" customHeight="1" thickBot="1" x14ac:dyDescent="0.25">
      <c r="A15" s="4" t="str">
        <f t="shared" si="0"/>
        <v> BBS 126 </v>
      </c>
      <c r="B15" s="2" t="str">
        <f t="shared" si="1"/>
        <v>I</v>
      </c>
      <c r="C15" s="4">
        <f t="shared" si="2"/>
        <v>52116.474900000001</v>
      </c>
      <c r="D15" s="5" t="str">
        <f t="shared" si="3"/>
        <v>vis</v>
      </c>
      <c r="E15" s="18" t="e">
        <f>VLOOKUP(C15,Active!C$21:E$973,3,FALSE)</f>
        <v>#N/A</v>
      </c>
      <c r="F15" s="2" t="s">
        <v>56</v>
      </c>
      <c r="G15" s="5" t="str">
        <f t="shared" si="4"/>
        <v>52116.4749</v>
      </c>
      <c r="H15" s="4">
        <f t="shared" si="5"/>
        <v>11011</v>
      </c>
      <c r="I15" s="19" t="s">
        <v>70</v>
      </c>
      <c r="J15" s="20" t="s">
        <v>71</v>
      </c>
      <c r="K15" s="19">
        <v>11011</v>
      </c>
      <c r="L15" s="19" t="s">
        <v>72</v>
      </c>
      <c r="M15" s="20" t="s">
        <v>61</v>
      </c>
      <c r="N15" s="20" t="s">
        <v>62</v>
      </c>
      <c r="O15" s="21" t="s">
        <v>63</v>
      </c>
      <c r="P15" s="21" t="s">
        <v>73</v>
      </c>
    </row>
    <row r="16" spans="1:16" ht="12.75" customHeight="1" thickBot="1" x14ac:dyDescent="0.25">
      <c r="A16" s="4" t="str">
        <f t="shared" si="0"/>
        <v>BAVM 203 </v>
      </c>
      <c r="B16" s="2" t="str">
        <f t="shared" si="1"/>
        <v>II</v>
      </c>
      <c r="C16" s="4">
        <f t="shared" si="2"/>
        <v>54388.345000000001</v>
      </c>
      <c r="D16" s="5" t="str">
        <f t="shared" si="3"/>
        <v>vis</v>
      </c>
      <c r="E16" s="18">
        <f>VLOOKUP(C16,Active!C$21:E$973,3,FALSE)</f>
        <v>12096.550719097902</v>
      </c>
      <c r="F16" s="2" t="s">
        <v>56</v>
      </c>
      <c r="G16" s="5" t="str">
        <f t="shared" si="4"/>
        <v>54388.3450</v>
      </c>
      <c r="H16" s="4">
        <f t="shared" si="5"/>
        <v>12096.5</v>
      </c>
      <c r="I16" s="19" t="s">
        <v>86</v>
      </c>
      <c r="J16" s="20" t="s">
        <v>87</v>
      </c>
      <c r="K16" s="19">
        <v>12096.5</v>
      </c>
      <c r="L16" s="19" t="s">
        <v>88</v>
      </c>
      <c r="M16" s="20" t="s">
        <v>77</v>
      </c>
      <c r="N16" s="20" t="s">
        <v>89</v>
      </c>
      <c r="O16" s="21" t="s">
        <v>90</v>
      </c>
      <c r="P16" s="22" t="s">
        <v>91</v>
      </c>
    </row>
    <row r="17" spans="1:16" ht="12.75" customHeight="1" thickBot="1" x14ac:dyDescent="0.25">
      <c r="A17" s="4" t="str">
        <f t="shared" si="0"/>
        <v>BAVM 193 </v>
      </c>
      <c r="B17" s="2" t="str">
        <f t="shared" si="1"/>
        <v>I</v>
      </c>
      <c r="C17" s="4">
        <f t="shared" si="2"/>
        <v>54389.392999999996</v>
      </c>
      <c r="D17" s="5" t="str">
        <f t="shared" si="3"/>
        <v>vis</v>
      </c>
      <c r="E17" s="18">
        <f>VLOOKUP(C17,Active!C$21:E$973,3,FALSE)</f>
        <v>12097.05145969707</v>
      </c>
      <c r="F17" s="2" t="s">
        <v>56</v>
      </c>
      <c r="G17" s="5" t="str">
        <f t="shared" si="4"/>
        <v>54389.3930</v>
      </c>
      <c r="H17" s="4">
        <f t="shared" si="5"/>
        <v>12097</v>
      </c>
      <c r="I17" s="19" t="s">
        <v>92</v>
      </c>
      <c r="J17" s="20" t="s">
        <v>93</v>
      </c>
      <c r="K17" s="19" t="s">
        <v>94</v>
      </c>
      <c r="L17" s="19" t="s">
        <v>95</v>
      </c>
      <c r="M17" s="20" t="s">
        <v>77</v>
      </c>
      <c r="N17" s="20" t="s">
        <v>89</v>
      </c>
      <c r="O17" s="21" t="s">
        <v>90</v>
      </c>
      <c r="P17" s="22" t="s">
        <v>96</v>
      </c>
    </row>
    <row r="18" spans="1:16" ht="12.75" customHeight="1" thickBot="1" x14ac:dyDescent="0.25">
      <c r="A18" s="4" t="str">
        <f t="shared" si="0"/>
        <v>BAVM 203 </v>
      </c>
      <c r="B18" s="2" t="str">
        <f t="shared" si="1"/>
        <v>I</v>
      </c>
      <c r="C18" s="4">
        <f t="shared" si="2"/>
        <v>54663.561000000002</v>
      </c>
      <c r="D18" s="5" t="str">
        <f t="shared" si="3"/>
        <v>vis</v>
      </c>
      <c r="E18" s="18">
        <f>VLOOKUP(C18,Active!C$21:E$973,3,FALSE)</f>
        <v>12228.050551865832</v>
      </c>
      <c r="F18" s="2" t="s">
        <v>56</v>
      </c>
      <c r="G18" s="5" t="str">
        <f t="shared" si="4"/>
        <v>54663.5610</v>
      </c>
      <c r="H18" s="4">
        <f t="shared" si="5"/>
        <v>12228</v>
      </c>
      <c r="I18" s="19" t="s">
        <v>97</v>
      </c>
      <c r="J18" s="20" t="s">
        <v>98</v>
      </c>
      <c r="K18" s="19" t="s">
        <v>99</v>
      </c>
      <c r="L18" s="19" t="s">
        <v>100</v>
      </c>
      <c r="M18" s="20" t="s">
        <v>77</v>
      </c>
      <c r="N18" s="20" t="s">
        <v>89</v>
      </c>
      <c r="O18" s="21" t="s">
        <v>90</v>
      </c>
      <c r="P18" s="22" t="s">
        <v>91</v>
      </c>
    </row>
    <row r="19" spans="1:16" ht="12.75" customHeight="1" thickBot="1" x14ac:dyDescent="0.25">
      <c r="A19" s="4" t="str">
        <f t="shared" si="0"/>
        <v>BAVM 212 </v>
      </c>
      <c r="B19" s="2" t="str">
        <f t="shared" si="1"/>
        <v>I</v>
      </c>
      <c r="C19" s="4">
        <f t="shared" si="2"/>
        <v>55067.500800000002</v>
      </c>
      <c r="D19" s="5" t="str">
        <f t="shared" si="3"/>
        <v>vis</v>
      </c>
      <c r="E19" s="18">
        <f>VLOOKUP(C19,Active!C$21:E$973,3,FALSE)</f>
        <v>12421.055377705576</v>
      </c>
      <c r="F19" s="2" t="s">
        <v>56</v>
      </c>
      <c r="G19" s="5" t="str">
        <f t="shared" si="4"/>
        <v>55067.5008</v>
      </c>
      <c r="H19" s="4">
        <f t="shared" si="5"/>
        <v>12421</v>
      </c>
      <c r="I19" s="19" t="s">
        <v>101</v>
      </c>
      <c r="J19" s="20" t="s">
        <v>102</v>
      </c>
      <c r="K19" s="19" t="s">
        <v>103</v>
      </c>
      <c r="L19" s="19" t="s">
        <v>104</v>
      </c>
      <c r="M19" s="20" t="s">
        <v>77</v>
      </c>
      <c r="N19" s="20" t="s">
        <v>89</v>
      </c>
      <c r="O19" s="21" t="s">
        <v>90</v>
      </c>
      <c r="P19" s="22" t="s">
        <v>105</v>
      </c>
    </row>
    <row r="20" spans="1:16" x14ac:dyDescent="0.2">
      <c r="B20" s="2"/>
      <c r="E20" s="18"/>
      <c r="F20" s="2"/>
    </row>
    <row r="21" spans="1:16" x14ac:dyDescent="0.2">
      <c r="B21" s="2"/>
      <c r="E21" s="18"/>
      <c r="F21" s="2"/>
    </row>
    <row r="22" spans="1:16" x14ac:dyDescent="0.2">
      <c r="B22" s="2"/>
      <c r="E22" s="18"/>
      <c r="F22" s="2"/>
    </row>
    <row r="23" spans="1:16" x14ac:dyDescent="0.2">
      <c r="B23" s="2"/>
      <c r="E23" s="18"/>
      <c r="F23" s="2"/>
    </row>
    <row r="24" spans="1:16" x14ac:dyDescent="0.2">
      <c r="B24" s="2"/>
      <c r="E24" s="18"/>
      <c r="F24" s="2"/>
    </row>
    <row r="25" spans="1:16" x14ac:dyDescent="0.2">
      <c r="B25" s="2"/>
      <c r="E25" s="18"/>
      <c r="F25" s="2"/>
    </row>
    <row r="26" spans="1:16" x14ac:dyDescent="0.2">
      <c r="B26" s="2"/>
      <c r="E26" s="18"/>
      <c r="F26" s="2"/>
    </row>
    <row r="27" spans="1:16" x14ac:dyDescent="0.2">
      <c r="B27" s="2"/>
      <c r="E27" s="18"/>
      <c r="F27" s="2"/>
    </row>
    <row r="28" spans="1:16" x14ac:dyDescent="0.2">
      <c r="B28" s="2"/>
      <c r="E28" s="18"/>
      <c r="F28" s="2"/>
    </row>
    <row r="29" spans="1:16" x14ac:dyDescent="0.2">
      <c r="B29" s="2"/>
      <c r="E29" s="18"/>
      <c r="F29" s="2"/>
    </row>
    <row r="30" spans="1:16" x14ac:dyDescent="0.2">
      <c r="B30" s="2"/>
      <c r="E30" s="18"/>
      <c r="F30" s="2"/>
    </row>
    <row r="31" spans="1:16" x14ac:dyDescent="0.2">
      <c r="B31" s="2"/>
      <c r="E31" s="18"/>
      <c r="F31" s="2"/>
    </row>
    <row r="32" spans="1:16" x14ac:dyDescent="0.2">
      <c r="B32" s="2"/>
      <c r="E32" s="18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</sheetData>
  <phoneticPr fontId="7" type="noConversion"/>
  <hyperlinks>
    <hyperlink ref="P12" r:id="rId1" display="http://www.konkoly.hu/cgi-bin/IBVS?5263"/>
    <hyperlink ref="P13" r:id="rId2" display="http://var.astro.cz/oejv/issues/oejv0074.pdf"/>
    <hyperlink ref="P16" r:id="rId3" display="http://www.bav-astro.de/sfs/BAVM_link.php?BAVMnr=203"/>
    <hyperlink ref="P17" r:id="rId4" display="http://www.bav-astro.de/sfs/BAVM_link.php?BAVMnr=193"/>
    <hyperlink ref="P18" r:id="rId5" display="http://www.bav-astro.de/sfs/BAVM_link.php?BAVMnr=203"/>
    <hyperlink ref="P19" r:id="rId6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2024-03-06T06:07:54Z</dcterms:modified>
</cp:coreProperties>
</file>