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7F245E0-03A4-490A-8693-EC11470D403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1" i="1" l="1"/>
  <c r="Q22" i="1"/>
  <c r="Q24" i="1"/>
  <c r="Q25" i="1"/>
  <c r="Q26" i="1"/>
  <c r="Q27" i="1"/>
  <c r="Q28" i="1"/>
  <c r="Q31" i="1"/>
  <c r="Q32" i="1"/>
  <c r="Q33" i="1"/>
  <c r="G22" i="2"/>
  <c r="C22" i="2"/>
  <c r="G21" i="2"/>
  <c r="C21" i="2"/>
  <c r="G20" i="2"/>
  <c r="C20" i="2"/>
  <c r="G12" i="2"/>
  <c r="C12" i="2"/>
  <c r="G19" i="2"/>
  <c r="C19" i="2"/>
  <c r="G18" i="2"/>
  <c r="C18" i="2"/>
  <c r="G17" i="2"/>
  <c r="C17" i="2"/>
  <c r="G16" i="2"/>
  <c r="C16" i="2"/>
  <c r="G15" i="2"/>
  <c r="C15" i="2"/>
  <c r="G11" i="2"/>
  <c r="C11" i="2"/>
  <c r="G14" i="2"/>
  <c r="C14" i="2"/>
  <c r="G13" i="2"/>
  <c r="C13" i="2"/>
  <c r="H22" i="2"/>
  <c r="B22" i="2"/>
  <c r="D22" i="2"/>
  <c r="A22" i="2"/>
  <c r="H21" i="2"/>
  <c r="B21" i="2"/>
  <c r="D21" i="2"/>
  <c r="A21" i="2"/>
  <c r="H20" i="2"/>
  <c r="B20" i="2"/>
  <c r="D20" i="2"/>
  <c r="A20" i="2"/>
  <c r="H12" i="2"/>
  <c r="B12" i="2"/>
  <c r="D12" i="2"/>
  <c r="A12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1" i="2"/>
  <c r="B11" i="2"/>
  <c r="D11" i="2"/>
  <c r="A11" i="2"/>
  <c r="H14" i="2"/>
  <c r="B14" i="2"/>
  <c r="D14" i="2"/>
  <c r="A14" i="2"/>
  <c r="H13" i="2"/>
  <c r="B13" i="2"/>
  <c r="D13" i="2"/>
  <c r="A13" i="2"/>
  <c r="G11" i="1"/>
  <c r="F11" i="1"/>
  <c r="Q29" i="1"/>
  <c r="Q30" i="1"/>
  <c r="C7" i="1"/>
  <c r="E21" i="1"/>
  <c r="F21" i="1"/>
  <c r="E15" i="1"/>
  <c r="C17" i="1"/>
  <c r="R30" i="1"/>
  <c r="Q23" i="1"/>
  <c r="E13" i="2"/>
  <c r="E14" i="2"/>
  <c r="E11" i="2"/>
  <c r="E17" i="2"/>
  <c r="E23" i="1"/>
  <c r="F23" i="1"/>
  <c r="G23" i="1"/>
  <c r="H23" i="1"/>
  <c r="E24" i="1"/>
  <c r="F24" i="1"/>
  <c r="G24" i="1"/>
  <c r="I24" i="1"/>
  <c r="E31" i="1"/>
  <c r="F31" i="1"/>
  <c r="E30" i="1"/>
  <c r="F30" i="1"/>
  <c r="G30" i="1"/>
  <c r="J30" i="1"/>
  <c r="E26" i="1"/>
  <c r="F26" i="1"/>
  <c r="G26" i="1"/>
  <c r="I26" i="1"/>
  <c r="G29" i="1"/>
  <c r="I29" i="1"/>
  <c r="E33" i="1"/>
  <c r="F33" i="1"/>
  <c r="G33" i="1"/>
  <c r="J33" i="1"/>
  <c r="E22" i="1"/>
  <c r="F22" i="1"/>
  <c r="G22" i="1"/>
  <c r="E28" i="1"/>
  <c r="F28" i="1"/>
  <c r="G28" i="1"/>
  <c r="I28" i="1"/>
  <c r="E29" i="1"/>
  <c r="F29" i="1"/>
  <c r="E25" i="1"/>
  <c r="F25" i="1"/>
  <c r="G25" i="1"/>
  <c r="I25" i="1"/>
  <c r="G21" i="1"/>
  <c r="I21" i="1"/>
  <c r="E32" i="1"/>
  <c r="F32" i="1"/>
  <c r="G32" i="1"/>
  <c r="J32" i="1"/>
  <c r="G31" i="1"/>
  <c r="J31" i="1"/>
  <c r="E27" i="1"/>
  <c r="F27" i="1"/>
  <c r="G27" i="1"/>
  <c r="I27" i="1"/>
  <c r="I22" i="1"/>
  <c r="E22" i="2"/>
  <c r="E21" i="2"/>
  <c r="E18" i="2"/>
  <c r="E20" i="2"/>
  <c r="E12" i="2"/>
  <c r="E15" i="2"/>
  <c r="E16" i="2"/>
  <c r="E19" i="2"/>
  <c r="C11" i="1"/>
  <c r="C12" i="1"/>
  <c r="C16" i="1" l="1"/>
  <c r="D18" i="1" s="1"/>
  <c r="O22" i="1"/>
  <c r="O24" i="1"/>
  <c r="O33" i="1"/>
  <c r="O27" i="1"/>
  <c r="O23" i="1"/>
  <c r="O30" i="1"/>
  <c r="O26" i="1"/>
  <c r="O29" i="1"/>
  <c r="O32" i="1"/>
  <c r="O21" i="1"/>
  <c r="O31" i="1"/>
  <c r="O25" i="1"/>
  <c r="C15" i="1"/>
  <c r="E16" i="1" s="1"/>
  <c r="O28" i="1"/>
  <c r="C18" i="1" l="1"/>
  <c r="E17" i="1"/>
</calcChain>
</file>

<file path=xl/sharedStrings.xml><?xml version="1.0" encoding="utf-8"?>
<sst xmlns="http://schemas.openxmlformats.org/spreadsheetml/2006/main" count="169" uniqueCount="101">
  <si>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</si>
  <si>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</si>
  <si>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</si>
  <si>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</si>
  <si>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</si>
  <si>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</si>
  <si>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</si>
  <si>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</si>
  <si>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</si>
  <si>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</si>
  <si>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</si>
  <si>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</si>
  <si>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</si>
  <si>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</si>
  <si>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</si>
  <si>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</si>
  <si>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</si>
  <si>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</si>
  <si>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</si>
  <si>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</si>
  <si>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</si>
  <si>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</si>
  <si>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</si>
  <si>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</si>
  <si>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</si>
  <si>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</si>
  <si>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</si>
  <si>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</si>
  <si>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</si>
  <si>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</si>
  <si>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</si>
  <si>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</si>
  <si>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</si>
  <si>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</si>
  <si>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</si>
  <si>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</si>
  <si>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GO Sge / GSC 1622-0868</t>
  </si>
  <si>
    <t>EA</t>
  </si>
  <si>
    <t>IBVS 5781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</si>
  <si>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</si>
  <si>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</si>
  <si>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</si>
  <si>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</si>
  <si>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</si>
  <si>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</si>
  <si>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</si>
  <si>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</si>
  <si>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</si>
  <si>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</si>
  <si>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</si>
  <si>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</si>
  <si>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2432796.381 </t>
  </si>
  <si>
    <t> 01.09.1948 21:08 </t>
  </si>
  <si>
    <t> -0.001 </t>
  </si>
  <si>
    <t>P </t>
  </si>
  <si>
    <t> R.Weber </t>
  </si>
  <si>
    <t> BSAM 52 </t>
  </si>
  <si>
    <t>2438724.283 </t>
  </si>
  <si>
    <t> 24.11.1964 18:47 </t>
  </si>
  <si>
    <t> 0.055 </t>
  </si>
  <si>
    <t>2438904.502 </t>
  </si>
  <si>
    <t> 24.05.1965 00:02 </t>
  </si>
  <si>
    <t> 0.000 </t>
  </si>
  <si>
    <t>2438938.495 </t>
  </si>
  <si>
    <t> 26.06.1965 23:52 </t>
  </si>
  <si>
    <t> 0.017 </t>
  </si>
  <si>
    <t>2439064.360 </t>
  </si>
  <si>
    <t> 30.10.1965 20:38 </t>
  </si>
  <si>
    <t> -0.030 </t>
  </si>
  <si>
    <t>2439105.236 </t>
  </si>
  <si>
    <t> 10.12.1965 17:39 </t>
  </si>
  <si>
    <t> 0.075 </t>
  </si>
  <si>
    <t>2439285.447 </t>
  </si>
  <si>
    <t> 08.06.1966 22:43 </t>
  </si>
  <si>
    <t> 0.012 </t>
  </si>
  <si>
    <t>2439353.436 </t>
  </si>
  <si>
    <t> 15.08.1966 22:27 </t>
  </si>
  <si>
    <t> 0.049 </t>
  </si>
  <si>
    <t>2453933.4194 </t>
  </si>
  <si>
    <t> 16.07.2006 22:03 </t>
  </si>
  <si>
    <t> 1.6476 </t>
  </si>
  <si>
    <t>C </t>
  </si>
  <si>
    <t> R. Diethelm </t>
  </si>
  <si>
    <t> BBS 133 (=IBVS 5781) </t>
  </si>
  <si>
    <t>2454365.3434 </t>
  </si>
  <si>
    <t> 21.09.2007 20:14 </t>
  </si>
  <si>
    <t> 1.6743 </t>
  </si>
  <si>
    <t>-I</t>
  </si>
  <si>
    <t> F.Agerer </t>
  </si>
  <si>
    <t>BAVM 193 </t>
  </si>
  <si>
    <t>2454382.3486 </t>
  </si>
  <si>
    <t> 08.10.2007 20:21 </t>
  </si>
  <si>
    <t>38717.5</t>
  </si>
  <si>
    <t> 1.6914 </t>
  </si>
  <si>
    <t>2455028.5327 </t>
  </si>
  <si>
    <t> 16.07.2009 00:47 </t>
  </si>
  <si>
    <t>40334</t>
  </si>
  <si>
    <t> 1.7283 </t>
  </si>
  <si>
    <t>BAVM 212 </t>
  </si>
  <si>
    <t>II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</si>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</sst>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1" applyNumberFormat="0" applyFont="0" applyFill="0" applyAlignment="0" applyProtection="0"/>
  </cellStyleXfs>
  <cellXfs count="5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5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5" fillId="2" borderId="11" xfId="7" applyFill="1" applyBorder="1" applyAlignment="1" applyProtection="1">
      <alignment horizontal="right" vertical="top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GO Sge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2">
                    <c:v>0</c:v>
                  </c:pt>
                  <c:pt idx="9">
                    <c:v>1.1999999999999999E-3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2">
                    <c:v>0</c:v>
                  </c:pt>
                  <c:pt idx="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-1796</c:v>
                </c:pt>
                <c:pt idx="1">
                  <c:v>-53</c:v>
                </c:pt>
                <c:pt idx="2">
                  <c:v>0</c:v>
                </c:pt>
                <c:pt idx="3">
                  <c:v>10</c:v>
                </c:pt>
                <c:pt idx="4">
                  <c:v>47</c:v>
                </c:pt>
                <c:pt idx="5">
                  <c:v>59</c:v>
                </c:pt>
                <c:pt idx="6">
                  <c:v>112</c:v>
                </c:pt>
                <c:pt idx="7">
                  <c:v>132</c:v>
                </c:pt>
                <c:pt idx="8">
                  <c:v>3682</c:v>
                </c:pt>
                <c:pt idx="9">
                  <c:v>4419</c:v>
                </c:pt>
                <c:pt idx="10">
                  <c:v>4546</c:v>
                </c:pt>
                <c:pt idx="11">
                  <c:v>4551</c:v>
                </c:pt>
                <c:pt idx="12">
                  <c:v>4741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29-4B8C-A135-D7586313F2E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9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-1796</c:v>
                </c:pt>
                <c:pt idx="1">
                  <c:v>-53</c:v>
                </c:pt>
                <c:pt idx="2">
                  <c:v>0</c:v>
                </c:pt>
                <c:pt idx="3">
                  <c:v>10</c:v>
                </c:pt>
                <c:pt idx="4">
                  <c:v>47</c:v>
                </c:pt>
                <c:pt idx="5">
                  <c:v>59</c:v>
                </c:pt>
                <c:pt idx="6">
                  <c:v>112</c:v>
                </c:pt>
                <c:pt idx="7">
                  <c:v>132</c:v>
                </c:pt>
                <c:pt idx="8">
                  <c:v>3682</c:v>
                </c:pt>
                <c:pt idx="9">
                  <c:v>4419</c:v>
                </c:pt>
                <c:pt idx="10">
                  <c:v>4546</c:v>
                </c:pt>
                <c:pt idx="11">
                  <c:v>4551</c:v>
                </c:pt>
                <c:pt idx="12">
                  <c:v>4741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7.5000000004365575E-2</c:v>
                </c:pt>
                <c:pt idx="1">
                  <c:v>3.3999999999650754E-2</c:v>
                </c:pt>
                <c:pt idx="3">
                  <c:v>-1.6999999999825377E-2</c:v>
                </c:pt>
                <c:pt idx="4">
                  <c:v>1.0999999998603016E-2</c:v>
                </c:pt>
                <c:pt idx="5">
                  <c:v>7.4999999997089617E-2</c:v>
                </c:pt>
                <c:pt idx="6">
                  <c:v>3.3000000003085006E-2</c:v>
                </c:pt>
                <c:pt idx="7">
                  <c:v>2.0000000004074536E-3</c:v>
                </c:pt>
                <c:pt idx="8">
                  <c:v>-0.10399999999935972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29-4B8C-A135-D7586313F2E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9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-1796</c:v>
                </c:pt>
                <c:pt idx="1">
                  <c:v>-53</c:v>
                </c:pt>
                <c:pt idx="2">
                  <c:v>0</c:v>
                </c:pt>
                <c:pt idx="3">
                  <c:v>10</c:v>
                </c:pt>
                <c:pt idx="4">
                  <c:v>47</c:v>
                </c:pt>
                <c:pt idx="5">
                  <c:v>59</c:v>
                </c:pt>
                <c:pt idx="6">
                  <c:v>112</c:v>
                </c:pt>
                <c:pt idx="7">
                  <c:v>132</c:v>
                </c:pt>
                <c:pt idx="8">
                  <c:v>3682</c:v>
                </c:pt>
                <c:pt idx="9">
                  <c:v>4419</c:v>
                </c:pt>
                <c:pt idx="10">
                  <c:v>4546</c:v>
                </c:pt>
                <c:pt idx="11">
                  <c:v>4551</c:v>
                </c:pt>
                <c:pt idx="12">
                  <c:v>4741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9">
                  <c:v>-0.10160000000178115</c:v>
                </c:pt>
                <c:pt idx="10">
                  <c:v>-0.10460000000603031</c:v>
                </c:pt>
                <c:pt idx="11">
                  <c:v>-0.10440000000380678</c:v>
                </c:pt>
                <c:pt idx="12">
                  <c:v>-0.11029999999300344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29-4B8C-A135-D7586313F2E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9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-1796</c:v>
                </c:pt>
                <c:pt idx="1">
                  <c:v>-53</c:v>
                </c:pt>
                <c:pt idx="2">
                  <c:v>0</c:v>
                </c:pt>
                <c:pt idx="3">
                  <c:v>10</c:v>
                </c:pt>
                <c:pt idx="4">
                  <c:v>47</c:v>
                </c:pt>
                <c:pt idx="5">
                  <c:v>59</c:v>
                </c:pt>
                <c:pt idx="6">
                  <c:v>112</c:v>
                </c:pt>
                <c:pt idx="7">
                  <c:v>132</c:v>
                </c:pt>
                <c:pt idx="8">
                  <c:v>3682</c:v>
                </c:pt>
                <c:pt idx="9">
                  <c:v>4419</c:v>
                </c:pt>
                <c:pt idx="10">
                  <c:v>4546</c:v>
                </c:pt>
                <c:pt idx="11">
                  <c:v>4551</c:v>
                </c:pt>
                <c:pt idx="12">
                  <c:v>4741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29-4B8C-A135-D7586313F2E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9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-1796</c:v>
                </c:pt>
                <c:pt idx="1">
                  <c:v>-53</c:v>
                </c:pt>
                <c:pt idx="2">
                  <c:v>0</c:v>
                </c:pt>
                <c:pt idx="3">
                  <c:v>10</c:v>
                </c:pt>
                <c:pt idx="4">
                  <c:v>47</c:v>
                </c:pt>
                <c:pt idx="5">
                  <c:v>59</c:v>
                </c:pt>
                <c:pt idx="6">
                  <c:v>112</c:v>
                </c:pt>
                <c:pt idx="7">
                  <c:v>132</c:v>
                </c:pt>
                <c:pt idx="8">
                  <c:v>3682</c:v>
                </c:pt>
                <c:pt idx="9">
                  <c:v>4419</c:v>
                </c:pt>
                <c:pt idx="10">
                  <c:v>4546</c:v>
                </c:pt>
                <c:pt idx="11">
                  <c:v>4551</c:v>
                </c:pt>
                <c:pt idx="12">
                  <c:v>4741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29-4B8C-A135-D7586313F2E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9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-1796</c:v>
                </c:pt>
                <c:pt idx="1">
                  <c:v>-53</c:v>
                </c:pt>
                <c:pt idx="2">
                  <c:v>0</c:v>
                </c:pt>
                <c:pt idx="3">
                  <c:v>10</c:v>
                </c:pt>
                <c:pt idx="4">
                  <c:v>47</c:v>
                </c:pt>
                <c:pt idx="5">
                  <c:v>59</c:v>
                </c:pt>
                <c:pt idx="6">
                  <c:v>112</c:v>
                </c:pt>
                <c:pt idx="7">
                  <c:v>132</c:v>
                </c:pt>
                <c:pt idx="8">
                  <c:v>3682</c:v>
                </c:pt>
                <c:pt idx="9">
                  <c:v>4419</c:v>
                </c:pt>
                <c:pt idx="10">
                  <c:v>4546</c:v>
                </c:pt>
                <c:pt idx="11">
                  <c:v>4551</c:v>
                </c:pt>
                <c:pt idx="12">
                  <c:v>4741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29-4B8C-A135-D7586313F2E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9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-1796</c:v>
                </c:pt>
                <c:pt idx="1">
                  <c:v>-53</c:v>
                </c:pt>
                <c:pt idx="2">
                  <c:v>0</c:v>
                </c:pt>
                <c:pt idx="3">
                  <c:v>10</c:v>
                </c:pt>
                <c:pt idx="4">
                  <c:v>47</c:v>
                </c:pt>
                <c:pt idx="5">
                  <c:v>59</c:v>
                </c:pt>
                <c:pt idx="6">
                  <c:v>112</c:v>
                </c:pt>
                <c:pt idx="7">
                  <c:v>132</c:v>
                </c:pt>
                <c:pt idx="8">
                  <c:v>3682</c:v>
                </c:pt>
                <c:pt idx="9">
                  <c:v>4419</c:v>
                </c:pt>
                <c:pt idx="10">
                  <c:v>4546</c:v>
                </c:pt>
                <c:pt idx="11">
                  <c:v>4551</c:v>
                </c:pt>
                <c:pt idx="12">
                  <c:v>4741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29-4B8C-A135-D7586313F2E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-1796</c:v>
                </c:pt>
                <c:pt idx="1">
                  <c:v>-53</c:v>
                </c:pt>
                <c:pt idx="2">
                  <c:v>0</c:v>
                </c:pt>
                <c:pt idx="3">
                  <c:v>10</c:v>
                </c:pt>
                <c:pt idx="4">
                  <c:v>47</c:v>
                </c:pt>
                <c:pt idx="5">
                  <c:v>59</c:v>
                </c:pt>
                <c:pt idx="6">
                  <c:v>112</c:v>
                </c:pt>
                <c:pt idx="7">
                  <c:v>132</c:v>
                </c:pt>
                <c:pt idx="8">
                  <c:v>3682</c:v>
                </c:pt>
                <c:pt idx="9">
                  <c:v>4419</c:v>
                </c:pt>
                <c:pt idx="10">
                  <c:v>4546</c:v>
                </c:pt>
                <c:pt idx="11">
                  <c:v>4551</c:v>
                </c:pt>
                <c:pt idx="12">
                  <c:v>4741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7.1304810992051021E-2</c:v>
                </c:pt>
                <c:pt idx="1">
                  <c:v>2.1855563841076012E-2</c:v>
                </c:pt>
                <c:pt idx="2">
                  <c:v>2.0351943589210449E-2</c:v>
                </c:pt>
                <c:pt idx="3">
                  <c:v>2.006824165489619E-2</c:v>
                </c:pt>
                <c:pt idx="4">
                  <c:v>1.9018544497933439E-2</c:v>
                </c:pt>
                <c:pt idx="5">
                  <c:v>1.867810217675633E-2</c:v>
                </c:pt>
                <c:pt idx="6">
                  <c:v>1.717448192489077E-2</c:v>
                </c:pt>
                <c:pt idx="7">
                  <c:v>1.6607078056262256E-2</c:v>
                </c:pt>
                <c:pt idx="8">
                  <c:v>-8.4107108625299021E-2</c:v>
                </c:pt>
                <c:pt idx="9">
                  <c:v>-0.10501594118425978</c:v>
                </c:pt>
                <c:pt idx="10">
                  <c:v>-0.10861895575005084</c:v>
                </c:pt>
                <c:pt idx="11">
                  <c:v>-0.10876080671720798</c:v>
                </c:pt>
                <c:pt idx="12">
                  <c:v>-0.11415114346917885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A29-4B8C-A135-D7586313F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13840"/>
        <c:axId val="1"/>
      </c:scatterChart>
      <c:valAx>
        <c:axId val="837813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13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09774436090225"/>
          <c:y val="0.92375366568914952"/>
          <c:w val="0.6736842105263157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323F892-34CB-A859-4156-548F03E5C9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12" TargetMode="External"/><Relationship Id="rId2" Type="http://schemas.openxmlformats.org/officeDocument/2006/relationships/hyperlink" Target="http://www.bav-astro.de/sfs/BAVM_link.php?BAVMnr=193" TargetMode="External"/><Relationship Id="rId1" Type="http://schemas.openxmlformats.org/officeDocument/2006/relationships/hyperlink" Target="http://www.bav-astro.de/sfs/BAVM_link.php?BAVMnr=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22" customFormat="1" ht="20.25" x14ac:dyDescent="0.2">
      <c r="A1" s="49" t="s">
        <v>36</v>
      </c>
    </row>
    <row r="2" spans="1:7" s="22" customFormat="1" ht="12.95" customHeight="1" x14ac:dyDescent="0.2">
      <c r="A2" s="22" t="s">
        <v>24</v>
      </c>
      <c r="B2" s="22" t="s">
        <v>37</v>
      </c>
      <c r="C2" s="23"/>
      <c r="D2" s="23"/>
    </row>
    <row r="3" spans="1:7" s="22" customFormat="1" ht="12.95" customHeight="1" thickBot="1" x14ac:dyDescent="0.25"/>
    <row r="4" spans="1:7" s="22" customFormat="1" ht="12.95" customHeight="1" thickTop="1" thickBot="1" x14ac:dyDescent="0.25">
      <c r="A4" s="24" t="s">
        <v>0</v>
      </c>
      <c r="C4" s="25">
        <v>38904.502</v>
      </c>
      <c r="D4" s="26">
        <v>0.39971990000000002</v>
      </c>
    </row>
    <row r="5" spans="1:7" s="22" customFormat="1" ht="12.95" customHeight="1" x14ac:dyDescent="0.2"/>
    <row r="6" spans="1:7" s="22" customFormat="1" ht="12.95" customHeight="1" x14ac:dyDescent="0.2">
      <c r="A6" s="24" t="s">
        <v>1</v>
      </c>
    </row>
    <row r="7" spans="1:7" s="22" customFormat="1" ht="12.95" customHeight="1" x14ac:dyDescent="0.2">
      <c r="A7" s="22" t="s">
        <v>2</v>
      </c>
      <c r="C7" s="22">
        <f>+C4</f>
        <v>38904.502</v>
      </c>
    </row>
    <row r="8" spans="1:7" s="22" customFormat="1" ht="12.95" customHeight="1" x14ac:dyDescent="0.2">
      <c r="A8" s="22" t="s">
        <v>3</v>
      </c>
      <c r="C8" s="27">
        <v>3.4009999999999998</v>
      </c>
      <c r="D8" s="27" t="s">
        <v>38</v>
      </c>
    </row>
    <row r="9" spans="1:7" s="22" customFormat="1" ht="12.95" customHeight="1" x14ac:dyDescent="0.2">
      <c r="A9" s="27" t="s">
        <v>29</v>
      </c>
      <c r="C9" s="28">
        <v>-9.5</v>
      </c>
      <c r="D9" s="22" t="s">
        <v>30</v>
      </c>
    </row>
    <row r="10" spans="1:7" s="22" customFormat="1" ht="12.95" customHeight="1" thickBot="1" x14ac:dyDescent="0.25">
      <c r="C10" s="29" t="s">
        <v>20</v>
      </c>
      <c r="D10" s="29" t="s">
        <v>21</v>
      </c>
    </row>
    <row r="11" spans="1:7" s="22" customFormat="1" ht="12.95" customHeight="1" x14ac:dyDescent="0.2">
      <c r="A11" s="22" t="s">
        <v>16</v>
      </c>
      <c r="C11" s="30">
        <f ca="1">INTERCEPT(INDIRECT($G$11):G992,INDIRECT($F$11):F992)</f>
        <v>2.0351943589210449E-2</v>
      </c>
      <c r="D11" s="23"/>
      <c r="F11" s="31" t="str">
        <f>"F"&amp;E19</f>
        <v>F22</v>
      </c>
      <c r="G11" s="30" t="str">
        <f>"G"&amp;E19</f>
        <v>G22</v>
      </c>
    </row>
    <row r="12" spans="1:7" s="22" customFormat="1" ht="12.95" customHeight="1" x14ac:dyDescent="0.2">
      <c r="A12" s="22" t="s">
        <v>17</v>
      </c>
      <c r="C12" s="30">
        <f ca="1">SLOPE(INDIRECT($G$11):G992,INDIRECT($F$11):F992)</f>
        <v>-2.8370193431425711E-5</v>
      </c>
      <c r="D12" s="23"/>
    </row>
    <row r="13" spans="1:7" s="22" customFormat="1" ht="12.95" customHeight="1" x14ac:dyDescent="0.2">
      <c r="A13" s="22" t="s">
        <v>19</v>
      </c>
      <c r="C13" s="23" t="s">
        <v>14</v>
      </c>
      <c r="D13" s="23"/>
    </row>
    <row r="14" spans="1:7" s="22" customFormat="1" ht="12.95" customHeight="1" x14ac:dyDescent="0.2"/>
    <row r="15" spans="1:7" s="22" customFormat="1" ht="12.95" customHeight="1" x14ac:dyDescent="0.2">
      <c r="A15" s="32" t="s">
        <v>18</v>
      </c>
      <c r="C15" s="33">
        <f ca="1">(C7+C11)+(C8+C12)*INT(MAX(F21:F3533))</f>
        <v>55028.528848856527</v>
      </c>
      <c r="D15" s="34" t="s">
        <v>31</v>
      </c>
      <c r="E15" s="35">
        <f ca="1">TODAY()+15018.5-B9/24</f>
        <v>60375.5</v>
      </c>
    </row>
    <row r="16" spans="1:7" s="22" customFormat="1" ht="12.95" customHeight="1" x14ac:dyDescent="0.2">
      <c r="A16" s="24" t="s">
        <v>4</v>
      </c>
      <c r="C16" s="36">
        <f ca="1">+C8+C12</f>
        <v>3.4009716298065684</v>
      </c>
      <c r="D16" s="34" t="s">
        <v>32</v>
      </c>
      <c r="E16" s="35">
        <f ca="1">ROUND(2*(E15-C15)/C16,0)/2+1</f>
        <v>1573</v>
      </c>
    </row>
    <row r="17" spans="1:18" s="22" customFormat="1" ht="12.95" customHeight="1" thickBot="1" x14ac:dyDescent="0.25">
      <c r="A17" s="34" t="s">
        <v>28</v>
      </c>
      <c r="C17" s="22">
        <f>COUNT(C21:C2191)</f>
        <v>13</v>
      </c>
      <c r="D17" s="34" t="s">
        <v>33</v>
      </c>
      <c r="E17" s="37">
        <f ca="1">+C15+C16*E16-15018.5-C9/24</f>
        <v>45360.153055875599</v>
      </c>
    </row>
    <row r="18" spans="1:18" s="22" customFormat="1" ht="12.95" customHeight="1" thickTop="1" thickBot="1" x14ac:dyDescent="0.25">
      <c r="A18" s="24" t="s">
        <v>5</v>
      </c>
      <c r="C18" s="38">
        <f ca="1">+C15</f>
        <v>55028.528848856527</v>
      </c>
      <c r="D18" s="39">
        <f ca="1">+C16</f>
        <v>3.4009716298065684</v>
      </c>
      <c r="E18" s="40" t="s">
        <v>34</v>
      </c>
    </row>
    <row r="19" spans="1:18" s="22" customFormat="1" ht="12.95" customHeight="1" thickTop="1" x14ac:dyDescent="0.2">
      <c r="A19" s="41" t="s">
        <v>35</v>
      </c>
      <c r="E19" s="42">
        <v>22</v>
      </c>
    </row>
    <row r="20" spans="1:18" s="22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13</v>
      </c>
      <c r="E20" s="29" t="s">
        <v>9</v>
      </c>
      <c r="F20" s="29" t="s">
        <v>10</v>
      </c>
      <c r="G20" s="29" t="s">
        <v>11</v>
      </c>
      <c r="H20" s="43" t="s">
        <v>12</v>
      </c>
      <c r="I20" s="43" t="s">
        <v>100</v>
      </c>
      <c r="J20" s="43" t="s">
        <v>44</v>
      </c>
      <c r="K20" s="43" t="s">
        <v>42</v>
      </c>
      <c r="L20" s="43" t="s">
        <v>25</v>
      </c>
      <c r="M20" s="43" t="s">
        <v>26</v>
      </c>
      <c r="N20" s="43" t="s">
        <v>27</v>
      </c>
      <c r="O20" s="43" t="s">
        <v>23</v>
      </c>
      <c r="P20" s="44" t="s">
        <v>22</v>
      </c>
      <c r="Q20" s="29" t="s">
        <v>15</v>
      </c>
    </row>
    <row r="21" spans="1:18" s="22" customFormat="1" ht="12.95" customHeight="1" x14ac:dyDescent="0.2">
      <c r="A21" s="45" t="s">
        <v>56</v>
      </c>
      <c r="B21" s="46" t="s">
        <v>39</v>
      </c>
      <c r="C21" s="45">
        <v>32796.381000000001</v>
      </c>
      <c r="D21" s="47"/>
      <c r="E21" s="22">
        <f t="shared" ref="E21:E33" si="0">+(C21-C$7)/C$8</f>
        <v>-1795.9779476624522</v>
      </c>
      <c r="F21" s="22">
        <f t="shared" ref="F21:F33" si="1">ROUND(2*E21,0)/2</f>
        <v>-1796</v>
      </c>
      <c r="G21" s="22">
        <f t="shared" ref="G21:G33" si="2">+C21-(C$7+F21*C$8)</f>
        <v>7.5000000004365575E-2</v>
      </c>
      <c r="I21" s="22">
        <f>+G21</f>
        <v>7.5000000004365575E-2</v>
      </c>
      <c r="O21" s="22">
        <f t="shared" ref="O21:O33" ca="1" si="3">+C$11+C$12*$F21</f>
        <v>7.1304810992051021E-2</v>
      </c>
      <c r="Q21" s="48">
        <f t="shared" ref="Q21:Q33" si="4">+C21-15018.5</f>
        <v>17777.881000000001</v>
      </c>
    </row>
    <row r="22" spans="1:18" s="22" customFormat="1" ht="12.95" customHeight="1" x14ac:dyDescent="0.2">
      <c r="A22" s="45" t="s">
        <v>56</v>
      </c>
      <c r="B22" s="46" t="s">
        <v>39</v>
      </c>
      <c r="C22" s="45">
        <v>38724.283000000003</v>
      </c>
      <c r="D22" s="47"/>
      <c r="E22" s="22">
        <f t="shared" si="0"/>
        <v>-52.990002940310887</v>
      </c>
      <c r="F22" s="22">
        <f t="shared" si="1"/>
        <v>-53</v>
      </c>
      <c r="G22" s="22">
        <f t="shared" si="2"/>
        <v>3.3999999999650754E-2</v>
      </c>
      <c r="I22" s="22">
        <f>+G22</f>
        <v>3.3999999999650754E-2</v>
      </c>
      <c r="O22" s="22">
        <f t="shared" ca="1" si="3"/>
        <v>2.1855563841076012E-2</v>
      </c>
      <c r="Q22" s="48">
        <f t="shared" si="4"/>
        <v>23705.783000000003</v>
      </c>
    </row>
    <row r="23" spans="1:18" s="22" customFormat="1" ht="12.95" customHeight="1" x14ac:dyDescent="0.2">
      <c r="A23" s="22" t="s">
        <v>12</v>
      </c>
      <c r="C23" s="47">
        <v>38904.502</v>
      </c>
      <c r="D23" s="47" t="s">
        <v>14</v>
      </c>
      <c r="E23" s="22">
        <f t="shared" si="0"/>
        <v>0</v>
      </c>
      <c r="F23" s="22">
        <f t="shared" si="1"/>
        <v>0</v>
      </c>
      <c r="G23" s="22">
        <f t="shared" si="2"/>
        <v>0</v>
      </c>
      <c r="H23" s="22">
        <f>+G23</f>
        <v>0</v>
      </c>
      <c r="O23" s="22">
        <f t="shared" ca="1" si="3"/>
        <v>2.0351943589210449E-2</v>
      </c>
      <c r="Q23" s="48">
        <f t="shared" si="4"/>
        <v>23886.002</v>
      </c>
    </row>
    <row r="24" spans="1:18" s="22" customFormat="1" ht="12.95" customHeight="1" x14ac:dyDescent="0.2">
      <c r="A24" s="45" t="s">
        <v>56</v>
      </c>
      <c r="B24" s="46" t="s">
        <v>39</v>
      </c>
      <c r="C24" s="45">
        <v>38938.495000000003</v>
      </c>
      <c r="D24" s="47"/>
      <c r="E24" s="22">
        <f t="shared" si="0"/>
        <v>9.9950014701564882</v>
      </c>
      <c r="F24" s="22">
        <f t="shared" si="1"/>
        <v>10</v>
      </c>
      <c r="G24" s="22">
        <f t="shared" si="2"/>
        <v>-1.6999999999825377E-2</v>
      </c>
      <c r="I24" s="22">
        <f>+G24</f>
        <v>-1.6999999999825377E-2</v>
      </c>
      <c r="O24" s="22">
        <f t="shared" ca="1" si="3"/>
        <v>2.006824165489619E-2</v>
      </c>
      <c r="Q24" s="48">
        <f t="shared" si="4"/>
        <v>23919.995000000003</v>
      </c>
    </row>
    <row r="25" spans="1:18" s="22" customFormat="1" ht="12.95" customHeight="1" x14ac:dyDescent="0.2">
      <c r="A25" s="45" t="s">
        <v>56</v>
      </c>
      <c r="B25" s="46" t="s">
        <v>39</v>
      </c>
      <c r="C25" s="45">
        <v>39064.36</v>
      </c>
      <c r="D25" s="47"/>
      <c r="E25" s="22">
        <f t="shared" si="0"/>
        <v>47.003234342840393</v>
      </c>
      <c r="F25" s="22">
        <f t="shared" si="1"/>
        <v>47</v>
      </c>
      <c r="G25" s="22">
        <f t="shared" si="2"/>
        <v>1.0999999998603016E-2</v>
      </c>
      <c r="I25" s="22">
        <f>+G25</f>
        <v>1.0999999998603016E-2</v>
      </c>
      <c r="O25" s="22">
        <f t="shared" ca="1" si="3"/>
        <v>1.9018544497933439E-2</v>
      </c>
      <c r="Q25" s="48">
        <f t="shared" si="4"/>
        <v>24045.86</v>
      </c>
    </row>
    <row r="26" spans="1:18" s="22" customFormat="1" ht="12.95" customHeight="1" x14ac:dyDescent="0.2">
      <c r="A26" s="45" t="s">
        <v>56</v>
      </c>
      <c r="B26" s="46" t="s">
        <v>39</v>
      </c>
      <c r="C26" s="45">
        <v>39105.235999999997</v>
      </c>
      <c r="D26" s="47"/>
      <c r="E26" s="22">
        <f t="shared" si="0"/>
        <v>59.022052337546825</v>
      </c>
      <c r="F26" s="22">
        <f t="shared" si="1"/>
        <v>59</v>
      </c>
      <c r="G26" s="22">
        <f t="shared" si="2"/>
        <v>7.4999999997089617E-2</v>
      </c>
      <c r="I26" s="22">
        <f>+G26</f>
        <v>7.4999999997089617E-2</v>
      </c>
      <c r="O26" s="22">
        <f t="shared" ca="1" si="3"/>
        <v>1.867810217675633E-2</v>
      </c>
      <c r="Q26" s="48">
        <f t="shared" si="4"/>
        <v>24086.735999999997</v>
      </c>
    </row>
    <row r="27" spans="1:18" s="22" customFormat="1" ht="12.95" customHeight="1" x14ac:dyDescent="0.2">
      <c r="A27" s="45" t="s">
        <v>56</v>
      </c>
      <c r="B27" s="46" t="s">
        <v>39</v>
      </c>
      <c r="C27" s="45">
        <v>39285.447</v>
      </c>
      <c r="D27" s="47"/>
      <c r="E27" s="22">
        <f t="shared" si="0"/>
        <v>112.00970302852095</v>
      </c>
      <c r="F27" s="22">
        <f t="shared" si="1"/>
        <v>112</v>
      </c>
      <c r="G27" s="22">
        <f t="shared" si="2"/>
        <v>3.3000000003085006E-2</v>
      </c>
      <c r="I27" s="22">
        <f>+G27</f>
        <v>3.3000000003085006E-2</v>
      </c>
      <c r="O27" s="22">
        <f t="shared" ca="1" si="3"/>
        <v>1.717448192489077E-2</v>
      </c>
      <c r="Q27" s="48">
        <f t="shared" si="4"/>
        <v>24266.947</v>
      </c>
    </row>
    <row r="28" spans="1:18" s="22" customFormat="1" ht="12.95" customHeight="1" x14ac:dyDescent="0.2">
      <c r="A28" s="45" t="s">
        <v>56</v>
      </c>
      <c r="B28" s="46" t="s">
        <v>39</v>
      </c>
      <c r="C28" s="45">
        <v>39353.436000000002</v>
      </c>
      <c r="D28" s="47"/>
      <c r="E28" s="22">
        <f t="shared" si="0"/>
        <v>132.00058806233494</v>
      </c>
      <c r="F28" s="22">
        <f t="shared" si="1"/>
        <v>132</v>
      </c>
      <c r="G28" s="22">
        <f t="shared" si="2"/>
        <v>2.0000000004074536E-3</v>
      </c>
      <c r="I28" s="22">
        <f>+G28</f>
        <v>2.0000000004074536E-3</v>
      </c>
      <c r="O28" s="22">
        <f t="shared" ca="1" si="3"/>
        <v>1.6607078056262256E-2</v>
      </c>
      <c r="Q28" s="48">
        <f t="shared" si="4"/>
        <v>24334.936000000002</v>
      </c>
    </row>
    <row r="29" spans="1:18" s="22" customFormat="1" ht="12.95" customHeight="1" x14ac:dyDescent="0.2">
      <c r="A29" s="5" t="s">
        <v>38</v>
      </c>
      <c r="C29" s="47">
        <v>51426.879999999997</v>
      </c>
      <c r="D29" s="47"/>
      <c r="E29" s="22">
        <f t="shared" si="0"/>
        <v>3681.9694207585999</v>
      </c>
      <c r="F29" s="22">
        <f t="shared" si="1"/>
        <v>3682</v>
      </c>
      <c r="G29" s="22">
        <f t="shared" si="2"/>
        <v>-0.10399999999935972</v>
      </c>
      <c r="I29" s="22">
        <f>+G29</f>
        <v>-0.10399999999935972</v>
      </c>
      <c r="O29" s="22">
        <f t="shared" ca="1" si="3"/>
        <v>-8.4107108625299021E-2</v>
      </c>
      <c r="Q29" s="48">
        <f t="shared" si="4"/>
        <v>36408.379999999997</v>
      </c>
    </row>
    <row r="30" spans="1:18" x14ac:dyDescent="0.2">
      <c r="A30" s="5" t="s">
        <v>38</v>
      </c>
      <c r="B30" s="6" t="s">
        <v>39</v>
      </c>
      <c r="C30" s="5">
        <v>53933.419399999999</v>
      </c>
      <c r="D30" s="5">
        <v>1.1999999999999999E-3</v>
      </c>
      <c r="E30">
        <f t="shared" si="0"/>
        <v>4418.9701264334017</v>
      </c>
      <c r="F30">
        <f t="shared" si="1"/>
        <v>4419</v>
      </c>
      <c r="G30">
        <f t="shared" si="2"/>
        <v>-0.10160000000178115</v>
      </c>
      <c r="J30">
        <f>+G30</f>
        <v>-0.10160000000178115</v>
      </c>
      <c r="O30">
        <f t="shared" ca="1" si="3"/>
        <v>-0.10501594118425978</v>
      </c>
      <c r="Q30" s="1">
        <f t="shared" si="4"/>
        <v>38914.919399999999</v>
      </c>
      <c r="R30" t="str">
        <f>IF(ABS(C30-C29)&lt;0.00001,1,"")</f>
        <v/>
      </c>
    </row>
    <row r="31" spans="1:18" x14ac:dyDescent="0.2">
      <c r="A31" s="20" t="s">
        <v>89</v>
      </c>
      <c r="B31" s="21" t="s">
        <v>39</v>
      </c>
      <c r="C31" s="20">
        <v>54365.343399999998</v>
      </c>
      <c r="D31" s="3"/>
      <c r="E31">
        <f t="shared" si="0"/>
        <v>4545.9692443398999</v>
      </c>
      <c r="F31">
        <f t="shared" si="1"/>
        <v>4546</v>
      </c>
      <c r="G31">
        <f t="shared" si="2"/>
        <v>-0.10460000000603031</v>
      </c>
      <c r="J31">
        <f>+G31</f>
        <v>-0.10460000000603031</v>
      </c>
      <c r="O31">
        <f t="shared" ca="1" si="3"/>
        <v>-0.10861895575005084</v>
      </c>
      <c r="Q31" s="1">
        <f t="shared" si="4"/>
        <v>39346.843399999998</v>
      </c>
    </row>
    <row r="32" spans="1:18" x14ac:dyDescent="0.2">
      <c r="A32" s="20" t="s">
        <v>89</v>
      </c>
      <c r="B32" s="21" t="s">
        <v>99</v>
      </c>
      <c r="C32" s="20">
        <v>54382.348599999998</v>
      </c>
      <c r="D32" s="3"/>
      <c r="E32">
        <f t="shared" si="0"/>
        <v>4550.9693031461329</v>
      </c>
      <c r="F32">
        <f t="shared" si="1"/>
        <v>4551</v>
      </c>
      <c r="G32">
        <f t="shared" si="2"/>
        <v>-0.10440000000380678</v>
      </c>
      <c r="J32">
        <f>+G32</f>
        <v>-0.10440000000380678</v>
      </c>
      <c r="O32">
        <f t="shared" ca="1" si="3"/>
        <v>-0.10876080671720798</v>
      </c>
      <c r="Q32" s="1">
        <f t="shared" si="4"/>
        <v>39363.848599999998</v>
      </c>
    </row>
    <row r="33" spans="1:17" x14ac:dyDescent="0.2">
      <c r="A33" s="20" t="s">
        <v>98</v>
      </c>
      <c r="B33" s="21" t="s">
        <v>39</v>
      </c>
      <c r="C33" s="20">
        <v>55028.532700000003</v>
      </c>
      <c r="D33" s="3"/>
      <c r="E33">
        <f t="shared" si="0"/>
        <v>4740.9675683622472</v>
      </c>
      <c r="F33">
        <f t="shared" si="1"/>
        <v>4741</v>
      </c>
      <c r="G33">
        <f t="shared" si="2"/>
        <v>-0.11029999999300344</v>
      </c>
      <c r="J33">
        <f>+G33</f>
        <v>-0.11029999999300344</v>
      </c>
      <c r="O33">
        <f t="shared" ca="1" si="3"/>
        <v>-0.11415114346917885</v>
      </c>
      <c r="Q33" s="1">
        <f t="shared" si="4"/>
        <v>40010.032700000003</v>
      </c>
    </row>
    <row r="34" spans="1:17" x14ac:dyDescent="0.2">
      <c r="B34" s="2"/>
      <c r="C34" s="3"/>
      <c r="D34" s="3"/>
    </row>
    <row r="35" spans="1:17" x14ac:dyDescent="0.2">
      <c r="C35" s="3"/>
      <c r="D35" s="3"/>
    </row>
    <row r="36" spans="1:17" x14ac:dyDescent="0.2">
      <c r="C36" s="3"/>
      <c r="D36" s="3"/>
    </row>
    <row r="37" spans="1:17" x14ac:dyDescent="0.2">
      <c r="C37" s="3"/>
      <c r="D37" s="3"/>
    </row>
    <row r="38" spans="1:17" x14ac:dyDescent="0.2">
      <c r="C38" s="3"/>
      <c r="D38" s="3"/>
    </row>
    <row r="39" spans="1:17" x14ac:dyDescent="0.2">
      <c r="C39" s="3"/>
      <c r="D39" s="3"/>
    </row>
    <row r="40" spans="1:17" x14ac:dyDescent="0.2">
      <c r="C40" s="3"/>
      <c r="D40" s="3"/>
    </row>
    <row r="41" spans="1:17" x14ac:dyDescent="0.2">
      <c r="C41" s="3"/>
      <c r="D41" s="3"/>
    </row>
    <row r="42" spans="1:17" x14ac:dyDescent="0.2">
      <c r="C42" s="3"/>
      <c r="D42" s="3"/>
    </row>
    <row r="43" spans="1:17" x14ac:dyDescent="0.2">
      <c r="C43" s="3"/>
      <c r="D43" s="3"/>
    </row>
    <row r="44" spans="1:17" x14ac:dyDescent="0.2">
      <c r="C44" s="3"/>
      <c r="D44" s="3"/>
    </row>
    <row r="45" spans="1:17" x14ac:dyDescent="0.2">
      <c r="C45" s="3"/>
      <c r="D45" s="3"/>
    </row>
    <row r="46" spans="1:17" x14ac:dyDescent="0.2">
      <c r="C46" s="3"/>
      <c r="D46" s="3"/>
    </row>
    <row r="47" spans="1:17" x14ac:dyDescent="0.2">
      <c r="C47" s="3"/>
      <c r="D47" s="3"/>
    </row>
    <row r="48" spans="1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1"/>
  <sheetViews>
    <sheetView workbookViewId="0">
      <selection activeCell="A13" sqref="A13:C22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7" t="s">
        <v>40</v>
      </c>
      <c r="I1" s="8" t="s">
        <v>41</v>
      </c>
      <c r="J1" s="9" t="s">
        <v>42</v>
      </c>
    </row>
    <row r="2" spans="1:16" x14ac:dyDescent="0.2">
      <c r="I2" s="10" t="s">
        <v>43</v>
      </c>
      <c r="J2" s="11" t="s">
        <v>44</v>
      </c>
    </row>
    <row r="3" spans="1:16" x14ac:dyDescent="0.2">
      <c r="A3" s="12" t="s">
        <v>45</v>
      </c>
      <c r="I3" s="10" t="s">
        <v>46</v>
      </c>
      <c r="J3" s="11" t="s">
        <v>47</v>
      </c>
    </row>
    <row r="4" spans="1:16" x14ac:dyDescent="0.2">
      <c r="I4" s="10" t="s">
        <v>48</v>
      </c>
      <c r="J4" s="11" t="s">
        <v>47</v>
      </c>
    </row>
    <row r="5" spans="1:16" ht="13.5" thickBot="1" x14ac:dyDescent="0.25">
      <c r="I5" s="13" t="s">
        <v>49</v>
      </c>
      <c r="J5" s="14" t="s">
        <v>50</v>
      </c>
    </row>
    <row r="10" spans="1:16" ht="13.5" thickBot="1" x14ac:dyDescent="0.25"/>
    <row r="11" spans="1:16" ht="12.75" customHeight="1" thickBot="1" x14ac:dyDescent="0.25">
      <c r="A11" s="3" t="str">
        <f t="shared" ref="A11:A22" si="0">P11</f>
        <v> BSAM 52 </v>
      </c>
      <c r="B11" s="2" t="str">
        <f t="shared" ref="B11:B22" si="1">IF(H11=INT(H11),"I","II")</f>
        <v>I</v>
      </c>
      <c r="C11" s="3">
        <f t="shared" ref="C11:C22" si="2">1*G11</f>
        <v>38904.502</v>
      </c>
      <c r="D11" s="4" t="str">
        <f t="shared" ref="D11:D22" si="3">VLOOKUP(F11,I$1:J$5,2,FALSE)</f>
        <v>vis</v>
      </c>
      <c r="E11" s="15">
        <f>VLOOKUP(C11,Active!C$21:E$973,3,FALSE)</f>
        <v>0</v>
      </c>
      <c r="F11" s="2" t="s">
        <v>49</v>
      </c>
      <c r="G11" s="4" t="str">
        <f t="shared" ref="G11:G22" si="4">MID(I11,3,LEN(I11)-3)</f>
        <v>38904.502</v>
      </c>
      <c r="H11" s="3">
        <f t="shared" ref="H11:H22" si="5">1*K11</f>
        <v>0</v>
      </c>
      <c r="I11" s="16" t="s">
        <v>60</v>
      </c>
      <c r="J11" s="17" t="s">
        <v>61</v>
      </c>
      <c r="K11" s="16">
        <v>0</v>
      </c>
      <c r="L11" s="16" t="s">
        <v>62</v>
      </c>
      <c r="M11" s="17" t="s">
        <v>54</v>
      </c>
      <c r="N11" s="17"/>
      <c r="O11" s="18" t="s">
        <v>55</v>
      </c>
      <c r="P11" s="18" t="s">
        <v>56</v>
      </c>
    </row>
    <row r="12" spans="1:16" ht="12.75" customHeight="1" thickBot="1" x14ac:dyDescent="0.25">
      <c r="A12" s="3" t="str">
        <f t="shared" si="0"/>
        <v> BBS 133 (=IBVS 5781) </v>
      </c>
      <c r="B12" s="2" t="str">
        <f t="shared" si="1"/>
        <v>II</v>
      </c>
      <c r="C12" s="3">
        <f t="shared" si="2"/>
        <v>53933.419399999999</v>
      </c>
      <c r="D12" s="4" t="str">
        <f t="shared" si="3"/>
        <v>vis</v>
      </c>
      <c r="E12" s="15">
        <f>VLOOKUP(C12,Active!C$21:E$973,3,FALSE)</f>
        <v>4418.9701264334017</v>
      </c>
      <c r="F12" s="2" t="s">
        <v>49</v>
      </c>
      <c r="G12" s="4" t="str">
        <f t="shared" si="4"/>
        <v>53933.4194</v>
      </c>
      <c r="H12" s="3">
        <f t="shared" si="5"/>
        <v>37594.5</v>
      </c>
      <c r="I12" s="16" t="s">
        <v>78</v>
      </c>
      <c r="J12" s="17" t="s">
        <v>79</v>
      </c>
      <c r="K12" s="16">
        <v>37594.5</v>
      </c>
      <c r="L12" s="16" t="s">
        <v>80</v>
      </c>
      <c r="M12" s="17" t="s">
        <v>81</v>
      </c>
      <c r="N12" s="17" t="s">
        <v>49</v>
      </c>
      <c r="O12" s="18" t="s">
        <v>82</v>
      </c>
      <c r="P12" s="18" t="s">
        <v>83</v>
      </c>
    </row>
    <row r="13" spans="1:16" ht="12.75" customHeight="1" thickBot="1" x14ac:dyDescent="0.25">
      <c r="A13" s="3" t="str">
        <f t="shared" si="0"/>
        <v> BSAM 52 </v>
      </c>
      <c r="B13" s="2" t="str">
        <f t="shared" si="1"/>
        <v>I</v>
      </c>
      <c r="C13" s="3">
        <f t="shared" si="2"/>
        <v>32796.381000000001</v>
      </c>
      <c r="D13" s="4" t="str">
        <f t="shared" si="3"/>
        <v>vis</v>
      </c>
      <c r="E13" s="15">
        <f>VLOOKUP(C13,Active!C$21:E$973,3,FALSE)</f>
        <v>-1795.9779476624522</v>
      </c>
      <c r="F13" s="2" t="s">
        <v>49</v>
      </c>
      <c r="G13" s="4" t="str">
        <f t="shared" si="4"/>
        <v>32796.381</v>
      </c>
      <c r="H13" s="3">
        <f t="shared" si="5"/>
        <v>-15281</v>
      </c>
      <c r="I13" s="16" t="s">
        <v>51</v>
      </c>
      <c r="J13" s="17" t="s">
        <v>52</v>
      </c>
      <c r="K13" s="16">
        <v>-15281</v>
      </c>
      <c r="L13" s="16" t="s">
        <v>53</v>
      </c>
      <c r="M13" s="17" t="s">
        <v>54</v>
      </c>
      <c r="N13" s="17"/>
      <c r="O13" s="18" t="s">
        <v>55</v>
      </c>
      <c r="P13" s="18" t="s">
        <v>56</v>
      </c>
    </row>
    <row r="14" spans="1:16" ht="12.75" customHeight="1" thickBot="1" x14ac:dyDescent="0.25">
      <c r="A14" s="3" t="str">
        <f t="shared" si="0"/>
        <v> BSAM 52 </v>
      </c>
      <c r="B14" s="2" t="str">
        <f t="shared" si="1"/>
        <v>I</v>
      </c>
      <c r="C14" s="3">
        <f t="shared" si="2"/>
        <v>38724.283000000003</v>
      </c>
      <c r="D14" s="4" t="str">
        <f t="shared" si="3"/>
        <v>vis</v>
      </c>
      <c r="E14" s="15">
        <f>VLOOKUP(C14,Active!C$21:E$973,3,FALSE)</f>
        <v>-52.990002940310887</v>
      </c>
      <c r="F14" s="2" t="s">
        <v>49</v>
      </c>
      <c r="G14" s="4" t="str">
        <f t="shared" si="4"/>
        <v>38724.283</v>
      </c>
      <c r="H14" s="3">
        <f t="shared" si="5"/>
        <v>-451</v>
      </c>
      <c r="I14" s="16" t="s">
        <v>57</v>
      </c>
      <c r="J14" s="17" t="s">
        <v>58</v>
      </c>
      <c r="K14" s="16">
        <v>-451</v>
      </c>
      <c r="L14" s="16" t="s">
        <v>59</v>
      </c>
      <c r="M14" s="17" t="s">
        <v>54</v>
      </c>
      <c r="N14" s="17"/>
      <c r="O14" s="18" t="s">
        <v>55</v>
      </c>
      <c r="P14" s="18" t="s">
        <v>56</v>
      </c>
    </row>
    <row r="15" spans="1:16" ht="12.75" customHeight="1" thickBot="1" x14ac:dyDescent="0.25">
      <c r="A15" s="3" t="str">
        <f t="shared" si="0"/>
        <v> BSAM 52 </v>
      </c>
      <c r="B15" s="2" t="str">
        <f t="shared" si="1"/>
        <v>I</v>
      </c>
      <c r="C15" s="3">
        <f t="shared" si="2"/>
        <v>38938.495000000003</v>
      </c>
      <c r="D15" s="4" t="str">
        <f t="shared" si="3"/>
        <v>vis</v>
      </c>
      <c r="E15" s="15">
        <f>VLOOKUP(C15,Active!C$21:E$973,3,FALSE)</f>
        <v>9.9950014701564882</v>
      </c>
      <c r="F15" s="2" t="s">
        <v>49</v>
      </c>
      <c r="G15" s="4" t="str">
        <f t="shared" si="4"/>
        <v>38938.495</v>
      </c>
      <c r="H15" s="3">
        <f t="shared" si="5"/>
        <v>85</v>
      </c>
      <c r="I15" s="16" t="s">
        <v>63</v>
      </c>
      <c r="J15" s="17" t="s">
        <v>64</v>
      </c>
      <c r="K15" s="16">
        <v>85</v>
      </c>
      <c r="L15" s="16" t="s">
        <v>65</v>
      </c>
      <c r="M15" s="17" t="s">
        <v>54</v>
      </c>
      <c r="N15" s="17"/>
      <c r="O15" s="18" t="s">
        <v>55</v>
      </c>
      <c r="P15" s="18" t="s">
        <v>56</v>
      </c>
    </row>
    <row r="16" spans="1:16" ht="12.75" customHeight="1" thickBot="1" x14ac:dyDescent="0.25">
      <c r="A16" s="3" t="str">
        <f t="shared" si="0"/>
        <v> BSAM 52 </v>
      </c>
      <c r="B16" s="2" t="str">
        <f t="shared" si="1"/>
        <v>I</v>
      </c>
      <c r="C16" s="3">
        <f t="shared" si="2"/>
        <v>39064.36</v>
      </c>
      <c r="D16" s="4" t="str">
        <f t="shared" si="3"/>
        <v>vis</v>
      </c>
      <c r="E16" s="15">
        <f>VLOOKUP(C16,Active!C$21:E$973,3,FALSE)</f>
        <v>47.003234342840393</v>
      </c>
      <c r="F16" s="2" t="s">
        <v>49</v>
      </c>
      <c r="G16" s="4" t="str">
        <f t="shared" si="4"/>
        <v>39064.360</v>
      </c>
      <c r="H16" s="3">
        <f t="shared" si="5"/>
        <v>400</v>
      </c>
      <c r="I16" s="16" t="s">
        <v>66</v>
      </c>
      <c r="J16" s="17" t="s">
        <v>67</v>
      </c>
      <c r="K16" s="16">
        <v>400</v>
      </c>
      <c r="L16" s="16" t="s">
        <v>68</v>
      </c>
      <c r="M16" s="17" t="s">
        <v>54</v>
      </c>
      <c r="N16" s="17"/>
      <c r="O16" s="18" t="s">
        <v>55</v>
      </c>
      <c r="P16" s="18" t="s">
        <v>56</v>
      </c>
    </row>
    <row r="17" spans="1:16" ht="12.75" customHeight="1" thickBot="1" x14ac:dyDescent="0.25">
      <c r="A17" s="3" t="str">
        <f t="shared" si="0"/>
        <v> BSAM 52 </v>
      </c>
      <c r="B17" s="2" t="str">
        <f t="shared" si="1"/>
        <v>I</v>
      </c>
      <c r="C17" s="3">
        <f t="shared" si="2"/>
        <v>39105.235999999997</v>
      </c>
      <c r="D17" s="4" t="str">
        <f t="shared" si="3"/>
        <v>vis</v>
      </c>
      <c r="E17" s="15">
        <f>VLOOKUP(C17,Active!C$21:E$973,3,FALSE)</f>
        <v>59.022052337546825</v>
      </c>
      <c r="F17" s="2" t="s">
        <v>49</v>
      </c>
      <c r="G17" s="4" t="str">
        <f t="shared" si="4"/>
        <v>39105.236</v>
      </c>
      <c r="H17" s="3">
        <f t="shared" si="5"/>
        <v>502</v>
      </c>
      <c r="I17" s="16" t="s">
        <v>69</v>
      </c>
      <c r="J17" s="17" t="s">
        <v>70</v>
      </c>
      <c r="K17" s="16">
        <v>502</v>
      </c>
      <c r="L17" s="16" t="s">
        <v>71</v>
      </c>
      <c r="M17" s="17" t="s">
        <v>54</v>
      </c>
      <c r="N17" s="17"/>
      <c r="O17" s="18" t="s">
        <v>55</v>
      </c>
      <c r="P17" s="18" t="s">
        <v>56</v>
      </c>
    </row>
    <row r="18" spans="1:16" ht="12.75" customHeight="1" thickBot="1" x14ac:dyDescent="0.25">
      <c r="A18" s="3" t="str">
        <f t="shared" si="0"/>
        <v> BSAM 52 </v>
      </c>
      <c r="B18" s="2" t="str">
        <f t="shared" si="1"/>
        <v>I</v>
      </c>
      <c r="C18" s="3">
        <f t="shared" si="2"/>
        <v>39285.447</v>
      </c>
      <c r="D18" s="4" t="str">
        <f t="shared" si="3"/>
        <v>vis</v>
      </c>
      <c r="E18" s="15">
        <f>VLOOKUP(C18,Active!C$21:E$973,3,FALSE)</f>
        <v>112.00970302852095</v>
      </c>
      <c r="F18" s="2" t="s">
        <v>49</v>
      </c>
      <c r="G18" s="4" t="str">
        <f t="shared" si="4"/>
        <v>39285.447</v>
      </c>
      <c r="H18" s="3">
        <f t="shared" si="5"/>
        <v>953</v>
      </c>
      <c r="I18" s="16" t="s">
        <v>72</v>
      </c>
      <c r="J18" s="17" t="s">
        <v>73</v>
      </c>
      <c r="K18" s="16">
        <v>953</v>
      </c>
      <c r="L18" s="16" t="s">
        <v>74</v>
      </c>
      <c r="M18" s="17" t="s">
        <v>54</v>
      </c>
      <c r="N18" s="17"/>
      <c r="O18" s="18" t="s">
        <v>55</v>
      </c>
      <c r="P18" s="18" t="s">
        <v>56</v>
      </c>
    </row>
    <row r="19" spans="1:16" ht="12.75" customHeight="1" thickBot="1" x14ac:dyDescent="0.25">
      <c r="A19" s="3" t="str">
        <f t="shared" si="0"/>
        <v> BSAM 52 </v>
      </c>
      <c r="B19" s="2" t="str">
        <f t="shared" si="1"/>
        <v>I</v>
      </c>
      <c r="C19" s="3">
        <f t="shared" si="2"/>
        <v>39353.436000000002</v>
      </c>
      <c r="D19" s="4" t="str">
        <f t="shared" si="3"/>
        <v>vis</v>
      </c>
      <c r="E19" s="15">
        <f>VLOOKUP(C19,Active!C$21:E$973,3,FALSE)</f>
        <v>132.00058806233494</v>
      </c>
      <c r="F19" s="2" t="s">
        <v>49</v>
      </c>
      <c r="G19" s="4" t="str">
        <f t="shared" si="4"/>
        <v>39353.436</v>
      </c>
      <c r="H19" s="3">
        <f t="shared" si="5"/>
        <v>1123</v>
      </c>
      <c r="I19" s="16" t="s">
        <v>75</v>
      </c>
      <c r="J19" s="17" t="s">
        <v>76</v>
      </c>
      <c r="K19" s="16">
        <v>1123</v>
      </c>
      <c r="L19" s="16" t="s">
        <v>77</v>
      </c>
      <c r="M19" s="17" t="s">
        <v>54</v>
      </c>
      <c r="N19" s="17"/>
      <c r="O19" s="18" t="s">
        <v>55</v>
      </c>
      <c r="P19" s="18" t="s">
        <v>56</v>
      </c>
    </row>
    <row r="20" spans="1:16" ht="12.75" customHeight="1" thickBot="1" x14ac:dyDescent="0.25">
      <c r="A20" s="3" t="str">
        <f t="shared" si="0"/>
        <v>BAVM 193 </v>
      </c>
      <c r="B20" s="2" t="str">
        <f t="shared" si="1"/>
        <v>I</v>
      </c>
      <c r="C20" s="3">
        <f t="shared" si="2"/>
        <v>54365.343399999998</v>
      </c>
      <c r="D20" s="4" t="str">
        <f t="shared" si="3"/>
        <v>vis</v>
      </c>
      <c r="E20" s="15">
        <f>VLOOKUP(C20,Active!C$21:E$973,3,FALSE)</f>
        <v>4545.9692443398999</v>
      </c>
      <c r="F20" s="2" t="s">
        <v>49</v>
      </c>
      <c r="G20" s="4" t="str">
        <f t="shared" si="4"/>
        <v>54365.3434</v>
      </c>
      <c r="H20" s="3">
        <f t="shared" si="5"/>
        <v>38675</v>
      </c>
      <c r="I20" s="16" t="s">
        <v>84</v>
      </c>
      <c r="J20" s="17" t="s">
        <v>85</v>
      </c>
      <c r="K20" s="16">
        <v>38675</v>
      </c>
      <c r="L20" s="16" t="s">
        <v>86</v>
      </c>
      <c r="M20" s="17" t="s">
        <v>81</v>
      </c>
      <c r="N20" s="17" t="s">
        <v>87</v>
      </c>
      <c r="O20" s="18" t="s">
        <v>88</v>
      </c>
      <c r="P20" s="19" t="s">
        <v>89</v>
      </c>
    </row>
    <row r="21" spans="1:16" ht="12.75" customHeight="1" thickBot="1" x14ac:dyDescent="0.25">
      <c r="A21" s="3" t="str">
        <f t="shared" si="0"/>
        <v>BAVM 193 </v>
      </c>
      <c r="B21" s="2" t="str">
        <f t="shared" si="1"/>
        <v>II</v>
      </c>
      <c r="C21" s="3">
        <f t="shared" si="2"/>
        <v>54382.348599999998</v>
      </c>
      <c r="D21" s="4" t="str">
        <f t="shared" si="3"/>
        <v>vis</v>
      </c>
      <c r="E21" s="15">
        <f>VLOOKUP(C21,Active!C$21:E$973,3,FALSE)</f>
        <v>4550.9693031461329</v>
      </c>
      <c r="F21" s="2" t="s">
        <v>49</v>
      </c>
      <c r="G21" s="4" t="str">
        <f t="shared" si="4"/>
        <v>54382.3486</v>
      </c>
      <c r="H21" s="3">
        <f t="shared" si="5"/>
        <v>38717.5</v>
      </c>
      <c r="I21" s="16" t="s">
        <v>90</v>
      </c>
      <c r="J21" s="17" t="s">
        <v>91</v>
      </c>
      <c r="K21" s="16" t="s">
        <v>92</v>
      </c>
      <c r="L21" s="16" t="s">
        <v>93</v>
      </c>
      <c r="M21" s="17" t="s">
        <v>81</v>
      </c>
      <c r="N21" s="17" t="s">
        <v>87</v>
      </c>
      <c r="O21" s="18" t="s">
        <v>88</v>
      </c>
      <c r="P21" s="19" t="s">
        <v>89</v>
      </c>
    </row>
    <row r="22" spans="1:16" ht="12.75" customHeight="1" thickBot="1" x14ac:dyDescent="0.25">
      <c r="A22" s="3" t="str">
        <f t="shared" si="0"/>
        <v>BAVM 212 </v>
      </c>
      <c r="B22" s="2" t="str">
        <f t="shared" si="1"/>
        <v>I</v>
      </c>
      <c r="C22" s="3">
        <f t="shared" si="2"/>
        <v>55028.532700000003</v>
      </c>
      <c r="D22" s="4" t="str">
        <f t="shared" si="3"/>
        <v>vis</v>
      </c>
      <c r="E22" s="15">
        <f>VLOOKUP(C22,Active!C$21:E$973,3,FALSE)</f>
        <v>4740.9675683622472</v>
      </c>
      <c r="F22" s="2" t="s">
        <v>49</v>
      </c>
      <c r="G22" s="4" t="str">
        <f t="shared" si="4"/>
        <v>55028.5327</v>
      </c>
      <c r="H22" s="3">
        <f t="shared" si="5"/>
        <v>40334</v>
      </c>
      <c r="I22" s="16" t="s">
        <v>94</v>
      </c>
      <c r="J22" s="17" t="s">
        <v>95</v>
      </c>
      <c r="K22" s="16" t="s">
        <v>96</v>
      </c>
      <c r="L22" s="16" t="s">
        <v>97</v>
      </c>
      <c r="M22" s="17" t="s">
        <v>81</v>
      </c>
      <c r="N22" s="17" t="s">
        <v>87</v>
      </c>
      <c r="O22" s="18" t="s">
        <v>88</v>
      </c>
      <c r="P22" s="19" t="s">
        <v>98</v>
      </c>
    </row>
    <row r="23" spans="1:16" x14ac:dyDescent="0.2">
      <c r="B23" s="2"/>
      <c r="E23" s="15"/>
      <c r="F23" s="2"/>
    </row>
    <row r="24" spans="1:16" x14ac:dyDescent="0.2">
      <c r="B24" s="2"/>
      <c r="F24" s="2"/>
    </row>
    <row r="25" spans="1:16" x14ac:dyDescent="0.2">
      <c r="B25" s="2"/>
      <c r="F25" s="2"/>
    </row>
    <row r="26" spans="1:16" x14ac:dyDescent="0.2">
      <c r="B26" s="2"/>
      <c r="F26" s="2"/>
    </row>
    <row r="27" spans="1:16" x14ac:dyDescent="0.2">
      <c r="B27" s="2"/>
      <c r="F27" s="2"/>
    </row>
    <row r="28" spans="1:16" x14ac:dyDescent="0.2">
      <c r="B28" s="2"/>
      <c r="F28" s="2"/>
    </row>
    <row r="29" spans="1:16" x14ac:dyDescent="0.2">
      <c r="B29" s="2"/>
      <c r="F29" s="2"/>
    </row>
    <row r="30" spans="1:16" x14ac:dyDescent="0.2">
      <c r="B30" s="2"/>
      <c r="F30" s="2"/>
    </row>
    <row r="31" spans="1:16" x14ac:dyDescent="0.2">
      <c r="B31" s="2"/>
      <c r="F31" s="2"/>
    </row>
    <row r="32" spans="1:1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</sheetData>
  <phoneticPr fontId="7" type="noConversion"/>
  <hyperlinks>
    <hyperlink ref="P20" r:id="rId1" display="http://www.bav-astro.de/sfs/BAVM_link.php?BAVMnr=193"/>
    <hyperlink ref="P21" r:id="rId2" display="http://www.bav-astro.de/sfs/BAVM_link.php?BAVMnr=193"/>
    <hyperlink ref="P22" r:id="rId3" display="http://www.bav-astro.de/sfs/BAVM_link.php?BAVMnr=21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2024-03-06T06:11:15Z</dcterms:modified>
</cp:coreProperties>
</file>