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021A9F2-CE9B-4D59-B038-99466F7C154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9" i="1"/>
  <c r="F29" i="1"/>
  <c r="G29" i="1"/>
  <c r="I29" i="1"/>
  <c r="E30" i="1"/>
  <c r="F30" i="1"/>
  <c r="G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E35" i="1"/>
  <c r="F35" i="1"/>
  <c r="G35" i="1"/>
  <c r="I35" i="1"/>
  <c r="E36" i="1"/>
  <c r="F36" i="1"/>
  <c r="G36" i="1"/>
  <c r="I36" i="1"/>
  <c r="E37" i="1"/>
  <c r="F37" i="1"/>
  <c r="G37" i="1"/>
  <c r="I37" i="1"/>
  <c r="E38" i="1"/>
  <c r="F38" i="1"/>
  <c r="G38" i="1"/>
  <c r="E39" i="1"/>
  <c r="F39" i="1"/>
  <c r="G39" i="1"/>
  <c r="I39" i="1"/>
  <c r="E40" i="1"/>
  <c r="F40" i="1"/>
  <c r="G40" i="1"/>
  <c r="I40" i="1"/>
  <c r="E43" i="1"/>
  <c r="F43" i="1"/>
  <c r="G43" i="1"/>
  <c r="K43" i="1"/>
  <c r="E44" i="1"/>
  <c r="F44" i="1"/>
  <c r="G44" i="1"/>
  <c r="K44" i="1"/>
  <c r="E41" i="1"/>
  <c r="F41" i="1"/>
  <c r="G41" i="1"/>
  <c r="I41" i="1"/>
  <c r="E42" i="1"/>
  <c r="F42" i="1"/>
  <c r="G42" i="1"/>
  <c r="K42" i="1"/>
  <c r="Q22" i="1"/>
  <c r="Q23" i="1"/>
  <c r="Q24" i="1"/>
  <c r="Q25" i="1"/>
  <c r="Q26" i="1"/>
  <c r="Q27" i="1"/>
  <c r="Q29" i="1"/>
  <c r="I30" i="1"/>
  <c r="Q30" i="1"/>
  <c r="Q31" i="1"/>
  <c r="Q32" i="1"/>
  <c r="Q33" i="1"/>
  <c r="Q34" i="1"/>
  <c r="Q35" i="1"/>
  <c r="Q36" i="1"/>
  <c r="Q37" i="1"/>
  <c r="I38" i="1"/>
  <c r="Q38" i="1"/>
  <c r="Q39" i="1"/>
  <c r="Q40" i="1"/>
  <c r="Q43" i="1"/>
  <c r="Q44" i="1"/>
  <c r="G32" i="2"/>
  <c r="C32" i="2"/>
  <c r="E32" i="2"/>
  <c r="G31" i="2"/>
  <c r="C31" i="2"/>
  <c r="E31" i="2"/>
  <c r="G11" i="2"/>
  <c r="C11" i="2"/>
  <c r="E1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H32" i="2"/>
  <c r="B32" i="2"/>
  <c r="D32" i="2"/>
  <c r="A32" i="2"/>
  <c r="H31" i="2"/>
  <c r="B31" i="2"/>
  <c r="D31" i="2"/>
  <c r="A31" i="2"/>
  <c r="H11" i="2"/>
  <c r="B11" i="2"/>
  <c r="D11" i="2"/>
  <c r="A1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E15" i="1"/>
  <c r="E16" i="1" s="1"/>
  <c r="E17" i="1" s="1"/>
  <c r="Q42" i="1"/>
  <c r="Q41" i="1"/>
  <c r="E28" i="1"/>
  <c r="F28" i="1"/>
  <c r="C17" i="1"/>
  <c r="Q28" i="1"/>
  <c r="C11" i="1"/>
  <c r="C12" i="1"/>
  <c r="C16" i="1"/>
  <c r="D18" i="1"/>
  <c r="I21" i="1"/>
  <c r="O26" i="1"/>
  <c r="O35" i="1"/>
  <c r="O28" i="1"/>
  <c r="O27" i="1"/>
  <c r="O36" i="1"/>
  <c r="C15" i="1"/>
  <c r="O29" i="1"/>
  <c r="O37" i="1"/>
  <c r="O30" i="1"/>
  <c r="O22" i="1"/>
  <c r="O31" i="1"/>
  <c r="O39" i="1"/>
  <c r="O23" i="1"/>
  <c r="O32" i="1"/>
  <c r="O40" i="1"/>
  <c r="O34" i="1"/>
  <c r="O38" i="1"/>
  <c r="O24" i="1"/>
  <c r="O33" i="1"/>
  <c r="O43" i="1"/>
  <c r="O42" i="1"/>
  <c r="O21" i="1"/>
  <c r="O25" i="1"/>
  <c r="O44" i="1"/>
  <c r="O41" i="1"/>
  <c r="C18" i="1"/>
</calcChain>
</file>

<file path=xl/sharedStrings.xml><?xml version="1.0" encoding="utf-8"?>
<sst xmlns="http://schemas.openxmlformats.org/spreadsheetml/2006/main" count="263" uniqueCount="141">
  <si>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</si>
  <si>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</si>
  <si>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</si>
  <si>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</si>
  <si>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</si>
  <si>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</si>
  <si>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</si>
  <si>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</si>
  <si>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</si>
  <si>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</si>
  <si>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</si>
  <si>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</si>
  <si>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</si>
  <si>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</si>
  <si>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</si>
  <si>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</si>
  <si>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</si>
  <si>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</si>
  <si>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</si>
  <si>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</si>
  <si>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</si>
  <si>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</si>
  <si>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</si>
  <si>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</si>
  <si>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</si>
  <si>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</si>
  <si>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</si>
  <si>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</si>
  <si>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</si>
  <si>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EA/SD</t>
  </si>
  <si>
    <t>ROTSE</t>
  </si>
  <si>
    <t>II</t>
  </si>
  <si>
    <t>ROTSE data:  http://skydot.lanl.gov/nsvs/star.php?num=11280903&amp;mask=32004</t>
  </si>
  <si>
    <t>IBVS Coords:  http://www.konkoly.hu/cgi-bin/IBVS?4459</t>
  </si>
  <si>
    <t>ROTSE data appears to show small, but distinct secondary, and the primary eclipse is not fully covered by this data.</t>
  </si>
  <si>
    <t>TU Sge / GSC 01624-02400</t>
  </si>
  <si>
    <t>IBVS 5761</t>
  </si>
  <si>
    <t>I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</si>
  <si>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</si>
  <si>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</si>
  <si>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</si>
  <si>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</si>
  <si>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</si>
  <si>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</si>
  <si>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</si>
  <si>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</si>
  <si>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</si>
  <si>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</si>
  <si>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</si>
  <si>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</si>
  <si>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</si>
  <si>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</si>
  <si>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</si>
  <si>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</si>
  <si>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</si>
  <si>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</si>
  <si>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2414909.38 </t>
  </si>
  <si>
    <t> 11.09.1899 21:07 </t>
  </si>
  <si>
    <t> 0.74 </t>
  </si>
  <si>
    <t>P </t>
  </si>
  <si>
    <t> P.Parenago </t>
  </si>
  <si>
    <t> PZ 4.313 </t>
  </si>
  <si>
    <t>2419277.33 </t>
  </si>
  <si>
    <t> 28.08.1911 19:55 </t>
  </si>
  <si>
    <t> -0.25 </t>
  </si>
  <si>
    <t>2421044.33 </t>
  </si>
  <si>
    <t> 29.06.1916 19:55 </t>
  </si>
  <si>
    <t> -0.46 </t>
  </si>
  <si>
    <t>2421054.50 </t>
  </si>
  <si>
    <t> 10.07.1916 00:00 </t>
  </si>
  <si>
    <t> -0.11 </t>
  </si>
  <si>
    <t>2421095.36 </t>
  </si>
  <si>
    <t> 19.08.1916 20:38 </t>
  </si>
  <si>
    <t> 1.48 </t>
  </si>
  <si>
    <t>2421106.36 </t>
  </si>
  <si>
    <t> 30.08.1916 20:38 </t>
  </si>
  <si>
    <t> 0.21 </t>
  </si>
  <si>
    <t>2425002.49 </t>
  </si>
  <si>
    <t> 01.05.1927 23:45 </t>
  </si>
  <si>
    <t> 1.11 </t>
  </si>
  <si>
    <t>2428020.42 </t>
  </si>
  <si>
    <t> 05.08.1935 22:04 </t>
  </si>
  <si>
    <t> 0.06 </t>
  </si>
  <si>
    <t> A.van de Voorde </t>
  </si>
  <si>
    <t> VSS 1.284 </t>
  </si>
  <si>
    <t>2428398.42 </t>
  </si>
  <si>
    <t> 17.08.1936 22:04 </t>
  </si>
  <si>
    <t> 0.07 </t>
  </si>
  <si>
    <t>2428432.40 </t>
  </si>
  <si>
    <t> 20.09.1936 21:36 </t>
  </si>
  <si>
    <t> -0.31 </t>
  </si>
  <si>
    <t>2428658.50 </t>
  </si>
  <si>
    <t> 05.05.1937 00:00 </t>
  </si>
  <si>
    <t> -0.02 </t>
  </si>
  <si>
    <t>2428717.45 </t>
  </si>
  <si>
    <t> 02.07.1937 22:48 </t>
  </si>
  <si>
    <t> 0.02 </t>
  </si>
  <si>
    <t>2429080.46 </t>
  </si>
  <si>
    <t> 30.06.1938 23:02 </t>
  </si>
  <si>
    <t> -0.23 </t>
  </si>
  <si>
    <t>2429159.33 </t>
  </si>
  <si>
    <t> 17.09.1938 19:55 </t>
  </si>
  <si>
    <t> 0.10 </t>
  </si>
  <si>
    <t>2429193.35 </t>
  </si>
  <si>
    <t> 21.10.1938 20:24 </t>
  </si>
  <si>
    <t> -0.24 </t>
  </si>
  <si>
    <t>2429851.41 </t>
  </si>
  <si>
    <t> 09.08.1940 21:50 </t>
  </si>
  <si>
    <t>2434799.577 </t>
  </si>
  <si>
    <t> 26.02.1954 01:50 </t>
  </si>
  <si>
    <t> 0.000 </t>
  </si>
  <si>
    <t> L.Leis et al. </t>
  </si>
  <si>
    <t> TAOT 58.50 </t>
  </si>
  <si>
    <t>2436090.622 </t>
  </si>
  <si>
    <t> 09.09.1957 02:55 </t>
  </si>
  <si>
    <t> -0.000 </t>
  </si>
  <si>
    <t>2446649.465 </t>
  </si>
  <si>
    <t> 06.08.1986 23:09 </t>
  </si>
  <si>
    <t> -0.240 </t>
  </si>
  <si>
    <t>V </t>
  </si>
  <si>
    <t> L.Cluyse </t>
  </si>
  <si>
    <t> VSSC 68.34 </t>
  </si>
  <si>
    <t>2454023.4158 </t>
  </si>
  <si>
    <t> 14.10.2006 21:58 </t>
  </si>
  <si>
    <t> 0.5162 </t>
  </si>
  <si>
    <t>C </t>
  </si>
  <si>
    <t>-I</t>
  </si>
  <si>
    <t> F. Agerer </t>
  </si>
  <si>
    <t>BAVM 183 </t>
  </si>
  <si>
    <t>2455790.7055 </t>
  </si>
  <si>
    <t> 17.08.2011 04:55 </t>
  </si>
  <si>
    <t>5657</t>
  </si>
  <si>
    <t> 0.5954 </t>
  </si>
  <si>
    <t> F.Agerer </t>
  </si>
  <si>
    <t>BAVM 225 </t>
  </si>
  <si>
    <t>2455805.4329 </t>
  </si>
  <si>
    <t> 31.08.2011 22:23 </t>
  </si>
  <si>
    <t>5660</t>
  </si>
  <si>
    <t> 0.5960 </t>
  </si>
  <si>
    <t>11/09/1899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</si>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</sst>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2" formatCode="0.0000"/>
    <numFmt numFmtId="173" formatCode="0.000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7" fillId="0" borderId="1" applyNumberFormat="0" applyFont="0" applyFill="0" applyAlignment="0" applyProtection="0"/>
  </cellStyleXfs>
  <cellXfs count="4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172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11" fillId="0" borderId="0" xfId="0" applyFont="1" applyAlignment="1">
      <alignment horizontal="left"/>
    </xf>
    <xf numFmtId="0" fontId="0" fillId="0" borderId="0" xfId="0">
      <alignment vertical="top"/>
    </xf>
    <xf numFmtId="0" fontId="14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5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5" fillId="2" borderId="11" xfId="7" applyFill="1" applyBorder="1" applyAlignment="1" applyProtection="1">
      <alignment horizontal="right" vertical="top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172" fontId="0" fillId="0" borderId="0" xfId="0" applyNumberFormat="1" applyAlignment="1">
      <alignment vertical="center"/>
    </xf>
    <xf numFmtId="173" fontId="0" fillId="0" borderId="0" xfId="0" applyNumberForma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172" fontId="0" fillId="0" borderId="0" xfId="0" applyNumberFormat="1" applyAlignment="1">
      <alignment horizontal="left" vertical="center"/>
    </xf>
    <xf numFmtId="0" fontId="3" fillId="0" borderId="0" xfId="0" applyFont="1" applyAlignment="1">
      <alignment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TU Sge - O-C Diagr.</a:t>
            </a:r>
          </a:p>
        </c:rich>
      </c:tx>
      <c:layout>
        <c:manualLayout>
          <c:xMode val="edge"/>
          <c:yMode val="edge"/>
          <c:x val="0.37802941837439946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85632293164609"/>
          <c:y val="0.14678942920199375"/>
          <c:w val="0.82067916110217554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-2671</c:v>
                </c:pt>
                <c:pt idx="1">
                  <c:v>-1781</c:v>
                </c:pt>
                <c:pt idx="2">
                  <c:v>-1421</c:v>
                </c:pt>
                <c:pt idx="3">
                  <c:v>-1419</c:v>
                </c:pt>
                <c:pt idx="4">
                  <c:v>-1410.5</c:v>
                </c:pt>
                <c:pt idx="5">
                  <c:v>-1408.5</c:v>
                </c:pt>
                <c:pt idx="6">
                  <c:v>-615</c:v>
                </c:pt>
                <c:pt idx="7">
                  <c:v>0</c:v>
                </c:pt>
                <c:pt idx="8">
                  <c:v>0</c:v>
                </c:pt>
                <c:pt idx="9">
                  <c:v>77</c:v>
                </c:pt>
                <c:pt idx="10">
                  <c:v>84</c:v>
                </c:pt>
                <c:pt idx="11">
                  <c:v>130</c:v>
                </c:pt>
                <c:pt idx="12">
                  <c:v>142</c:v>
                </c:pt>
                <c:pt idx="13">
                  <c:v>216</c:v>
                </c:pt>
                <c:pt idx="14">
                  <c:v>232</c:v>
                </c:pt>
                <c:pt idx="15">
                  <c:v>239</c:v>
                </c:pt>
                <c:pt idx="16">
                  <c:v>373</c:v>
                </c:pt>
                <c:pt idx="17">
                  <c:v>1381</c:v>
                </c:pt>
                <c:pt idx="18">
                  <c:v>1644</c:v>
                </c:pt>
                <c:pt idx="19">
                  <c:v>3795</c:v>
                </c:pt>
                <c:pt idx="20">
                  <c:v>4771.5</c:v>
                </c:pt>
                <c:pt idx="21">
                  <c:v>5297</c:v>
                </c:pt>
                <c:pt idx="22">
                  <c:v>5657</c:v>
                </c:pt>
                <c:pt idx="23">
                  <c:v>5660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6D-4D2D-8FAC-B80E43AE454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  <c:pt idx="2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  <c:pt idx="2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-2671</c:v>
                </c:pt>
                <c:pt idx="1">
                  <c:v>-1781</c:v>
                </c:pt>
                <c:pt idx="2">
                  <c:v>-1421</c:v>
                </c:pt>
                <c:pt idx="3">
                  <c:v>-1419</c:v>
                </c:pt>
                <c:pt idx="4">
                  <c:v>-1410.5</c:v>
                </c:pt>
                <c:pt idx="5">
                  <c:v>-1408.5</c:v>
                </c:pt>
                <c:pt idx="6">
                  <c:v>-615</c:v>
                </c:pt>
                <c:pt idx="7">
                  <c:v>0</c:v>
                </c:pt>
                <c:pt idx="8">
                  <c:v>0</c:v>
                </c:pt>
                <c:pt idx="9">
                  <c:v>77</c:v>
                </c:pt>
                <c:pt idx="10">
                  <c:v>84</c:v>
                </c:pt>
                <c:pt idx="11">
                  <c:v>130</c:v>
                </c:pt>
                <c:pt idx="12">
                  <c:v>142</c:v>
                </c:pt>
                <c:pt idx="13">
                  <c:v>216</c:v>
                </c:pt>
                <c:pt idx="14">
                  <c:v>232</c:v>
                </c:pt>
                <c:pt idx="15">
                  <c:v>239</c:v>
                </c:pt>
                <c:pt idx="16">
                  <c:v>373</c:v>
                </c:pt>
                <c:pt idx="17">
                  <c:v>1381</c:v>
                </c:pt>
                <c:pt idx="18">
                  <c:v>1644</c:v>
                </c:pt>
                <c:pt idx="19">
                  <c:v>3795</c:v>
                </c:pt>
                <c:pt idx="20">
                  <c:v>4771.5</c:v>
                </c:pt>
                <c:pt idx="21">
                  <c:v>5297</c:v>
                </c:pt>
                <c:pt idx="22">
                  <c:v>5657</c:v>
                </c:pt>
                <c:pt idx="23">
                  <c:v>5660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1.0051992409989907</c:v>
                </c:pt>
                <c:pt idx="1">
                  <c:v>-7.0527948999369983E-2</c:v>
                </c:pt>
                <c:pt idx="2">
                  <c:v>-0.31688950899842894</c:v>
                </c:pt>
                <c:pt idx="3">
                  <c:v>3.5075149000476813E-2</c:v>
                </c:pt>
                <c:pt idx="4">
                  <c:v>-0.83157505450071767</c:v>
                </c:pt>
                <c:pt idx="5">
                  <c:v>0.35038960349993431</c:v>
                </c:pt>
                <c:pt idx="6">
                  <c:v>1.1748676650022389</c:v>
                </c:pt>
                <c:pt idx="8">
                  <c:v>5.8999999997467967E-2</c:v>
                </c:pt>
                <c:pt idx="9">
                  <c:v>6.4639332998922328E-2</c:v>
                </c:pt>
                <c:pt idx="10">
                  <c:v>-0.31848436400105129</c:v>
                </c:pt>
                <c:pt idx="11">
                  <c:v>-3.3297230002062861E-2</c:v>
                </c:pt>
                <c:pt idx="12">
                  <c:v>8.490717998938635E-3</c:v>
                </c:pt>
                <c:pt idx="13">
                  <c:v>-0.2488169360003667</c:v>
                </c:pt>
                <c:pt idx="14">
                  <c:v>7.690032800019253E-2</c:v>
                </c:pt>
                <c:pt idx="15">
                  <c:v>-0.26622336900254595</c:v>
                </c:pt>
                <c:pt idx="16">
                  <c:v>-1.4591283001209376E-2</c:v>
                </c:pt>
                <c:pt idx="17">
                  <c:v>-0.13740365100238705</c:v>
                </c:pt>
                <c:pt idx="18">
                  <c:v>-0.16405112399661448</c:v>
                </c:pt>
                <c:pt idx="19">
                  <c:v>-0.61806144500587834</c:v>
                </c:pt>
                <c:pt idx="20">
                  <c:v>-3.684035618789494E-7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C6D-4D2D-8FAC-B80E43AE454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  <c:pt idx="2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  <c:pt idx="2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-2671</c:v>
                </c:pt>
                <c:pt idx="1">
                  <c:v>-1781</c:v>
                </c:pt>
                <c:pt idx="2">
                  <c:v>-1421</c:v>
                </c:pt>
                <c:pt idx="3">
                  <c:v>-1419</c:v>
                </c:pt>
                <c:pt idx="4">
                  <c:v>-1410.5</c:v>
                </c:pt>
                <c:pt idx="5">
                  <c:v>-1408.5</c:v>
                </c:pt>
                <c:pt idx="6">
                  <c:v>-615</c:v>
                </c:pt>
                <c:pt idx="7">
                  <c:v>0</c:v>
                </c:pt>
                <c:pt idx="8">
                  <c:v>0</c:v>
                </c:pt>
                <c:pt idx="9">
                  <c:v>77</c:v>
                </c:pt>
                <c:pt idx="10">
                  <c:v>84</c:v>
                </c:pt>
                <c:pt idx="11">
                  <c:v>130</c:v>
                </c:pt>
                <c:pt idx="12">
                  <c:v>142</c:v>
                </c:pt>
                <c:pt idx="13">
                  <c:v>216</c:v>
                </c:pt>
                <c:pt idx="14">
                  <c:v>232</c:v>
                </c:pt>
                <c:pt idx="15">
                  <c:v>239</c:v>
                </c:pt>
                <c:pt idx="16">
                  <c:v>373</c:v>
                </c:pt>
                <c:pt idx="17">
                  <c:v>1381</c:v>
                </c:pt>
                <c:pt idx="18">
                  <c:v>1644</c:v>
                </c:pt>
                <c:pt idx="19">
                  <c:v>3795</c:v>
                </c:pt>
                <c:pt idx="20">
                  <c:v>4771.5</c:v>
                </c:pt>
                <c:pt idx="21">
                  <c:v>5297</c:v>
                </c:pt>
                <c:pt idx="22">
                  <c:v>5657</c:v>
                </c:pt>
                <c:pt idx="23">
                  <c:v>5660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C6D-4D2D-8FAC-B80E43AE454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  <c:pt idx="2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  <c:pt idx="2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-2671</c:v>
                </c:pt>
                <c:pt idx="1">
                  <c:v>-1781</c:v>
                </c:pt>
                <c:pt idx="2">
                  <c:v>-1421</c:v>
                </c:pt>
                <c:pt idx="3">
                  <c:v>-1419</c:v>
                </c:pt>
                <c:pt idx="4">
                  <c:v>-1410.5</c:v>
                </c:pt>
                <c:pt idx="5">
                  <c:v>-1408.5</c:v>
                </c:pt>
                <c:pt idx="6">
                  <c:v>-615</c:v>
                </c:pt>
                <c:pt idx="7">
                  <c:v>0</c:v>
                </c:pt>
                <c:pt idx="8">
                  <c:v>0</c:v>
                </c:pt>
                <c:pt idx="9">
                  <c:v>77</c:v>
                </c:pt>
                <c:pt idx="10">
                  <c:v>84</c:v>
                </c:pt>
                <c:pt idx="11">
                  <c:v>130</c:v>
                </c:pt>
                <c:pt idx="12">
                  <c:v>142</c:v>
                </c:pt>
                <c:pt idx="13">
                  <c:v>216</c:v>
                </c:pt>
                <c:pt idx="14">
                  <c:v>232</c:v>
                </c:pt>
                <c:pt idx="15">
                  <c:v>239</c:v>
                </c:pt>
                <c:pt idx="16">
                  <c:v>373</c:v>
                </c:pt>
                <c:pt idx="17">
                  <c:v>1381</c:v>
                </c:pt>
                <c:pt idx="18">
                  <c:v>1644</c:v>
                </c:pt>
                <c:pt idx="19">
                  <c:v>3795</c:v>
                </c:pt>
                <c:pt idx="20">
                  <c:v>4771.5</c:v>
                </c:pt>
                <c:pt idx="21">
                  <c:v>5297</c:v>
                </c:pt>
                <c:pt idx="22">
                  <c:v>5657</c:v>
                </c:pt>
                <c:pt idx="23">
                  <c:v>5660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1">
                  <c:v>-1.180328699410893E-2</c:v>
                </c:pt>
                <c:pt idx="22">
                  <c:v>3.1535153000731952E-2</c:v>
                </c:pt>
                <c:pt idx="23">
                  <c:v>3.1882139999652281E-2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C6D-4D2D-8FAC-B80E43AE454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  <c:pt idx="2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  <c:pt idx="2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-2671</c:v>
                </c:pt>
                <c:pt idx="1">
                  <c:v>-1781</c:v>
                </c:pt>
                <c:pt idx="2">
                  <c:v>-1421</c:v>
                </c:pt>
                <c:pt idx="3">
                  <c:v>-1419</c:v>
                </c:pt>
                <c:pt idx="4">
                  <c:v>-1410.5</c:v>
                </c:pt>
                <c:pt idx="5">
                  <c:v>-1408.5</c:v>
                </c:pt>
                <c:pt idx="6">
                  <c:v>-615</c:v>
                </c:pt>
                <c:pt idx="7">
                  <c:v>0</c:v>
                </c:pt>
                <c:pt idx="8">
                  <c:v>0</c:v>
                </c:pt>
                <c:pt idx="9">
                  <c:v>77</c:v>
                </c:pt>
                <c:pt idx="10">
                  <c:v>84</c:v>
                </c:pt>
                <c:pt idx="11">
                  <c:v>130</c:v>
                </c:pt>
                <c:pt idx="12">
                  <c:v>142</c:v>
                </c:pt>
                <c:pt idx="13">
                  <c:v>216</c:v>
                </c:pt>
                <c:pt idx="14">
                  <c:v>232</c:v>
                </c:pt>
                <c:pt idx="15">
                  <c:v>239</c:v>
                </c:pt>
                <c:pt idx="16">
                  <c:v>373</c:v>
                </c:pt>
                <c:pt idx="17">
                  <c:v>1381</c:v>
                </c:pt>
                <c:pt idx="18">
                  <c:v>1644</c:v>
                </c:pt>
                <c:pt idx="19">
                  <c:v>3795</c:v>
                </c:pt>
                <c:pt idx="20">
                  <c:v>4771.5</c:v>
                </c:pt>
                <c:pt idx="21">
                  <c:v>5297</c:v>
                </c:pt>
                <c:pt idx="22">
                  <c:v>5657</c:v>
                </c:pt>
                <c:pt idx="23">
                  <c:v>5660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C6D-4D2D-8FAC-B80E43AE454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  <c:pt idx="2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  <c:pt idx="2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-2671</c:v>
                </c:pt>
                <c:pt idx="1">
                  <c:v>-1781</c:v>
                </c:pt>
                <c:pt idx="2">
                  <c:v>-1421</c:v>
                </c:pt>
                <c:pt idx="3">
                  <c:v>-1419</c:v>
                </c:pt>
                <c:pt idx="4">
                  <c:v>-1410.5</c:v>
                </c:pt>
                <c:pt idx="5">
                  <c:v>-1408.5</c:v>
                </c:pt>
                <c:pt idx="6">
                  <c:v>-615</c:v>
                </c:pt>
                <c:pt idx="7">
                  <c:v>0</c:v>
                </c:pt>
                <c:pt idx="8">
                  <c:v>0</c:v>
                </c:pt>
                <c:pt idx="9">
                  <c:v>77</c:v>
                </c:pt>
                <c:pt idx="10">
                  <c:v>84</c:v>
                </c:pt>
                <c:pt idx="11">
                  <c:v>130</c:v>
                </c:pt>
                <c:pt idx="12">
                  <c:v>142</c:v>
                </c:pt>
                <c:pt idx="13">
                  <c:v>216</c:v>
                </c:pt>
                <c:pt idx="14">
                  <c:v>232</c:v>
                </c:pt>
                <c:pt idx="15">
                  <c:v>239</c:v>
                </c:pt>
                <c:pt idx="16">
                  <c:v>373</c:v>
                </c:pt>
                <c:pt idx="17">
                  <c:v>1381</c:v>
                </c:pt>
                <c:pt idx="18">
                  <c:v>1644</c:v>
                </c:pt>
                <c:pt idx="19">
                  <c:v>3795</c:v>
                </c:pt>
                <c:pt idx="20">
                  <c:v>4771.5</c:v>
                </c:pt>
                <c:pt idx="21">
                  <c:v>5297</c:v>
                </c:pt>
                <c:pt idx="22">
                  <c:v>5657</c:v>
                </c:pt>
                <c:pt idx="23">
                  <c:v>5660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C6D-4D2D-8FAC-B80E43AE454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  <c:pt idx="2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  <c:pt idx="2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-2671</c:v>
                </c:pt>
                <c:pt idx="1">
                  <c:v>-1781</c:v>
                </c:pt>
                <c:pt idx="2">
                  <c:v>-1421</c:v>
                </c:pt>
                <c:pt idx="3">
                  <c:v>-1419</c:v>
                </c:pt>
                <c:pt idx="4">
                  <c:v>-1410.5</c:v>
                </c:pt>
                <c:pt idx="5">
                  <c:v>-1408.5</c:v>
                </c:pt>
                <c:pt idx="6">
                  <c:v>-615</c:v>
                </c:pt>
                <c:pt idx="7">
                  <c:v>0</c:v>
                </c:pt>
                <c:pt idx="8">
                  <c:v>0</c:v>
                </c:pt>
                <c:pt idx="9">
                  <c:v>77</c:v>
                </c:pt>
                <c:pt idx="10">
                  <c:v>84</c:v>
                </c:pt>
                <c:pt idx="11">
                  <c:v>130</c:v>
                </c:pt>
                <c:pt idx="12">
                  <c:v>142</c:v>
                </c:pt>
                <c:pt idx="13">
                  <c:v>216</c:v>
                </c:pt>
                <c:pt idx="14">
                  <c:v>232</c:v>
                </c:pt>
                <c:pt idx="15">
                  <c:v>239</c:v>
                </c:pt>
                <c:pt idx="16">
                  <c:v>373</c:v>
                </c:pt>
                <c:pt idx="17">
                  <c:v>1381</c:v>
                </c:pt>
                <c:pt idx="18">
                  <c:v>1644</c:v>
                </c:pt>
                <c:pt idx="19">
                  <c:v>3795</c:v>
                </c:pt>
                <c:pt idx="20">
                  <c:v>4771.5</c:v>
                </c:pt>
                <c:pt idx="21">
                  <c:v>5297</c:v>
                </c:pt>
                <c:pt idx="22">
                  <c:v>5657</c:v>
                </c:pt>
                <c:pt idx="23">
                  <c:v>5660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C6D-4D2D-8FAC-B80E43AE454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-2671</c:v>
                </c:pt>
                <c:pt idx="1">
                  <c:v>-1781</c:v>
                </c:pt>
                <c:pt idx="2">
                  <c:v>-1421</c:v>
                </c:pt>
                <c:pt idx="3">
                  <c:v>-1419</c:v>
                </c:pt>
                <c:pt idx="4">
                  <c:v>-1410.5</c:v>
                </c:pt>
                <c:pt idx="5">
                  <c:v>-1408.5</c:v>
                </c:pt>
                <c:pt idx="6">
                  <c:v>-615</c:v>
                </c:pt>
                <c:pt idx="7">
                  <c:v>0</c:v>
                </c:pt>
                <c:pt idx="8">
                  <c:v>0</c:v>
                </c:pt>
                <c:pt idx="9">
                  <c:v>77</c:v>
                </c:pt>
                <c:pt idx="10">
                  <c:v>84</c:v>
                </c:pt>
                <c:pt idx="11">
                  <c:v>130</c:v>
                </c:pt>
                <c:pt idx="12">
                  <c:v>142</c:v>
                </c:pt>
                <c:pt idx="13">
                  <c:v>216</c:v>
                </c:pt>
                <c:pt idx="14">
                  <c:v>232</c:v>
                </c:pt>
                <c:pt idx="15">
                  <c:v>239</c:v>
                </c:pt>
                <c:pt idx="16">
                  <c:v>373</c:v>
                </c:pt>
                <c:pt idx="17">
                  <c:v>1381</c:v>
                </c:pt>
                <c:pt idx="18">
                  <c:v>1644</c:v>
                </c:pt>
                <c:pt idx="19">
                  <c:v>3795</c:v>
                </c:pt>
                <c:pt idx="20">
                  <c:v>4771.5</c:v>
                </c:pt>
                <c:pt idx="21">
                  <c:v>5297</c:v>
                </c:pt>
                <c:pt idx="22">
                  <c:v>5657</c:v>
                </c:pt>
                <c:pt idx="23">
                  <c:v>5660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0.11078565319782771</c:v>
                </c:pt>
                <c:pt idx="1">
                  <c:v>8.0436778132874365E-2</c:v>
                </c:pt>
                <c:pt idx="2">
                  <c:v>6.8160828668398843E-2</c:v>
                </c:pt>
                <c:pt idx="3">
                  <c:v>6.8092628949151759E-2</c:v>
                </c:pt>
                <c:pt idx="4">
                  <c:v>6.7802780142351637E-2</c:v>
                </c:pt>
                <c:pt idx="5">
                  <c:v>6.7734580423104554E-2</c:v>
                </c:pt>
                <c:pt idx="6">
                  <c:v>4.0676341811823113E-2</c:v>
                </c:pt>
                <c:pt idx="7">
                  <c:v>1.9704928143344104E-2</c:v>
                </c:pt>
                <c:pt idx="8">
                  <c:v>1.9704928143344104E-2</c:v>
                </c:pt>
                <c:pt idx="9">
                  <c:v>1.7079238952331287E-2</c:v>
                </c:pt>
                <c:pt idx="10">
                  <c:v>1.6840539934966484E-2</c:v>
                </c:pt>
                <c:pt idx="11">
                  <c:v>1.5271946392283502E-2</c:v>
                </c:pt>
                <c:pt idx="12">
                  <c:v>1.4862748076800984E-2</c:v>
                </c:pt>
                <c:pt idx="13">
                  <c:v>1.2339358464658796E-2</c:v>
                </c:pt>
                <c:pt idx="14">
                  <c:v>1.1793760710682106E-2</c:v>
                </c:pt>
                <c:pt idx="15">
                  <c:v>1.1555061693317303E-2</c:v>
                </c:pt>
                <c:pt idx="16">
                  <c:v>6.9856805037625293E-3</c:v>
                </c:pt>
                <c:pt idx="17">
                  <c:v>-2.738697799676891E-2</c:v>
                </c:pt>
                <c:pt idx="18">
                  <c:v>-3.6355241077760746E-2</c:v>
                </c:pt>
                <c:pt idx="19">
                  <c:v>-0.10970403912800195</c:v>
                </c:pt>
                <c:pt idx="20">
                  <c:v>-0.14300255205039178</c:v>
                </c:pt>
                <c:pt idx="21">
                  <c:v>-0.16092202828256369</c:v>
                </c:pt>
                <c:pt idx="22">
                  <c:v>-0.17319797774703921</c:v>
                </c:pt>
                <c:pt idx="23">
                  <c:v>-0.17330027732590983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C6D-4D2D-8FAC-B80E43AE4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0187640"/>
        <c:axId val="1"/>
      </c:scatterChart>
      <c:valAx>
        <c:axId val="680187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9420028069996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01876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709225361369409"/>
          <c:y val="0.9204921861831491"/>
          <c:w val="0.72374848943558956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0</xdr:row>
      <xdr:rowOff>19050</xdr:rowOff>
    </xdr:from>
    <xdr:to>
      <xdr:col>16</xdr:col>
      <xdr:colOff>190500</xdr:colOff>
      <xdr:row>18</xdr:row>
      <xdr:rowOff>76200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41F4590-75BD-61EC-2D33-65645CFE40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25" TargetMode="External"/><Relationship Id="rId2" Type="http://schemas.openxmlformats.org/officeDocument/2006/relationships/hyperlink" Target="http://www.bav-astro.de/sfs/BAVM_link.php?BAVMnr=225" TargetMode="External"/><Relationship Id="rId1" Type="http://schemas.openxmlformats.org/officeDocument/2006/relationships/hyperlink" Target="http://www.bav-astro.de/sfs/BAVM_link.php?BAVMnr=1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workbookViewId="0">
      <pane xSplit="15" ySplit="22" topLeftCell="P28" activePane="bottomRight" state="frozen"/>
      <selection pane="topRight" activeCell="P1" sqref="P1"/>
      <selection pane="bottomLeft" activeCell="A23" sqref="A23"/>
      <selection pane="bottomRight" activeCell="D6" sqref="D6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6" s="24" customFormat="1" ht="20.25" x14ac:dyDescent="0.2">
      <c r="A1" s="48" t="s">
        <v>35</v>
      </c>
      <c r="B1" s="48"/>
      <c r="P1" s="25" t="s">
        <v>32</v>
      </c>
    </row>
    <row r="2" spans="1:16" s="24" customFormat="1" ht="12.95" customHeight="1" x14ac:dyDescent="0.2">
      <c r="A2" s="24" t="s">
        <v>24</v>
      </c>
      <c r="B2" s="24" t="s">
        <v>29</v>
      </c>
      <c r="P2" s="25" t="s">
        <v>33</v>
      </c>
    </row>
    <row r="3" spans="1:16" s="24" customFormat="1" ht="12.95" customHeight="1" thickBot="1" x14ac:dyDescent="0.25">
      <c r="P3" s="25" t="s">
        <v>34</v>
      </c>
    </row>
    <row r="4" spans="1:16" s="24" customFormat="1" ht="12.95" customHeight="1" thickTop="1" thickBot="1" x14ac:dyDescent="0.25">
      <c r="A4" s="26" t="s">
        <v>0</v>
      </c>
      <c r="B4" s="26"/>
      <c r="C4" s="27">
        <v>28020.361000000001</v>
      </c>
      <c r="D4" s="28">
        <v>4.9089179999999999</v>
      </c>
    </row>
    <row r="5" spans="1:16" s="24" customFormat="1" ht="12.95" customHeight="1" x14ac:dyDescent="0.2"/>
    <row r="6" spans="1:16" s="24" customFormat="1" ht="12.95" customHeight="1" x14ac:dyDescent="0.2">
      <c r="A6" s="26" t="s">
        <v>1</v>
      </c>
      <c r="B6" s="26"/>
    </row>
    <row r="7" spans="1:16" s="24" customFormat="1" ht="12.95" customHeight="1" x14ac:dyDescent="0.2">
      <c r="A7" s="24" t="s">
        <v>2</v>
      </c>
      <c r="C7" s="29">
        <v>28020.361000000001</v>
      </c>
    </row>
    <row r="8" spans="1:16" s="24" customFormat="1" ht="12.95" customHeight="1" x14ac:dyDescent="0.2">
      <c r="A8" s="24" t="s">
        <v>3</v>
      </c>
      <c r="C8" s="30">
        <v>4.909017671</v>
      </c>
    </row>
    <row r="9" spans="1:16" s="24" customFormat="1" ht="12.95" customHeight="1" x14ac:dyDescent="0.2">
      <c r="A9" s="31" t="s">
        <v>38</v>
      </c>
      <c r="C9" s="32">
        <v>-9.5</v>
      </c>
      <c r="D9" s="24" t="s">
        <v>39</v>
      </c>
    </row>
    <row r="10" spans="1:16" s="24" customFormat="1" ht="12.95" customHeight="1" thickBot="1" x14ac:dyDescent="0.25">
      <c r="C10" s="33" t="s">
        <v>20</v>
      </c>
      <c r="D10" s="33" t="s">
        <v>21</v>
      </c>
    </row>
    <row r="11" spans="1:16" s="24" customFormat="1" ht="12.95" customHeight="1" x14ac:dyDescent="0.2">
      <c r="A11" s="24" t="s">
        <v>16</v>
      </c>
      <c r="C11" s="24">
        <f>INTERCEPT(G21:G998,F21:F998)</f>
        <v>1.9704928143344104E-2</v>
      </c>
      <c r="D11" s="34"/>
    </row>
    <row r="12" spans="1:16" s="24" customFormat="1" ht="12.95" customHeight="1" x14ac:dyDescent="0.2">
      <c r="A12" s="24" t="s">
        <v>17</v>
      </c>
      <c r="C12" s="24">
        <f>SLOPE(G21:G998,F21:F998)</f>
        <v>-3.4099859623543097E-5</v>
      </c>
      <c r="D12" s="34"/>
    </row>
    <row r="13" spans="1:16" s="24" customFormat="1" ht="12.95" customHeight="1" x14ac:dyDescent="0.2">
      <c r="A13" s="24" t="s">
        <v>19</v>
      </c>
      <c r="C13" s="34" t="s">
        <v>14</v>
      </c>
      <c r="D13" s="34"/>
    </row>
    <row r="14" spans="1:16" s="24" customFormat="1" ht="12.95" customHeight="1" x14ac:dyDescent="0.2"/>
    <row r="15" spans="1:16" s="24" customFormat="1" ht="12.95" customHeight="1" x14ac:dyDescent="0.2">
      <c r="A15" s="35" t="s">
        <v>18</v>
      </c>
      <c r="C15" s="36">
        <f>(C7+C11)+(C8+C12)*INT(MAX(F21:F3533))</f>
        <v>55805.227717582675</v>
      </c>
      <c r="D15" s="25" t="s">
        <v>40</v>
      </c>
      <c r="E15" s="37">
        <f ca="1">TODAY()+15018.5-B9/24</f>
        <v>60375.5</v>
      </c>
    </row>
    <row r="16" spans="1:16" s="24" customFormat="1" ht="12.95" customHeight="1" x14ac:dyDescent="0.2">
      <c r="A16" s="26" t="s">
        <v>4</v>
      </c>
      <c r="C16" s="38">
        <f>+C8+C12</f>
        <v>4.9089835711403769</v>
      </c>
      <c r="D16" s="25" t="s">
        <v>41</v>
      </c>
      <c r="E16" s="37">
        <f ca="1">ROUND(2*(E15-C15)/C16,0)/2+1</f>
        <v>932</v>
      </c>
    </row>
    <row r="17" spans="1:17" s="24" customFormat="1" ht="12.95" customHeight="1" thickBot="1" x14ac:dyDescent="0.25">
      <c r="A17" s="25" t="s">
        <v>28</v>
      </c>
      <c r="C17" s="24">
        <f>COUNT(C21:C2191)</f>
        <v>24</v>
      </c>
      <c r="D17" s="25" t="s">
        <v>42</v>
      </c>
      <c r="E17" s="39">
        <f ca="1">+C15+C16*E16-15018.5-C9/24</f>
        <v>45362.296239218842</v>
      </c>
    </row>
    <row r="18" spans="1:17" s="24" customFormat="1" ht="12.95" customHeight="1" thickTop="1" thickBot="1" x14ac:dyDescent="0.25">
      <c r="A18" s="26" t="s">
        <v>5</v>
      </c>
      <c r="C18" s="27">
        <f>+C15</f>
        <v>55805.227717582675</v>
      </c>
      <c r="D18" s="28">
        <f>+C16</f>
        <v>4.9089835711403769</v>
      </c>
      <c r="E18" s="40" t="s">
        <v>43</v>
      </c>
    </row>
    <row r="19" spans="1:17" s="24" customFormat="1" ht="12.95" customHeight="1" thickTop="1" x14ac:dyDescent="0.2"/>
    <row r="20" spans="1:17" s="24" customFormat="1" ht="12.95" customHeight="1" thickBot="1" x14ac:dyDescent="0.25">
      <c r="A20" s="33" t="s">
        <v>6</v>
      </c>
      <c r="B20" s="33" t="s">
        <v>7</v>
      </c>
      <c r="C20" s="33" t="s">
        <v>8</v>
      </c>
      <c r="D20" s="33" t="s">
        <v>13</v>
      </c>
      <c r="E20" s="33" t="s">
        <v>9</v>
      </c>
      <c r="F20" s="33" t="s">
        <v>10</v>
      </c>
      <c r="G20" s="33" t="s">
        <v>11</v>
      </c>
      <c r="H20" s="41" t="s">
        <v>12</v>
      </c>
      <c r="I20" s="41" t="s">
        <v>140</v>
      </c>
      <c r="J20" s="41" t="s">
        <v>48</v>
      </c>
      <c r="K20" s="41" t="s">
        <v>46</v>
      </c>
      <c r="L20" s="41" t="s">
        <v>25</v>
      </c>
      <c r="M20" s="41" t="s">
        <v>26</v>
      </c>
      <c r="N20" s="41" t="s">
        <v>27</v>
      </c>
      <c r="O20" s="41" t="s">
        <v>23</v>
      </c>
      <c r="P20" s="42" t="s">
        <v>22</v>
      </c>
      <c r="Q20" s="33" t="s">
        <v>15</v>
      </c>
    </row>
    <row r="21" spans="1:17" s="24" customFormat="1" ht="12.95" customHeight="1" x14ac:dyDescent="0.2">
      <c r="A21" s="43" t="s">
        <v>61</v>
      </c>
      <c r="B21" s="44" t="s">
        <v>37</v>
      </c>
      <c r="C21" s="43">
        <v>14909.38</v>
      </c>
      <c r="D21" s="45"/>
      <c r="E21" s="24">
        <f t="shared" ref="E21:E44" si="0">+(C21-C$7)/C$8</f>
        <v>-2670.7952341367732</v>
      </c>
      <c r="F21" s="24">
        <f t="shared" ref="F21:F44" si="1">ROUND(2*E21,0)/2</f>
        <v>-2671</v>
      </c>
      <c r="G21" s="24">
        <f t="shared" ref="G21:G27" si="2">+C21-(C$7+F21*C$8)</f>
        <v>1.0051992409989907</v>
      </c>
      <c r="I21" s="24">
        <f>+G21</f>
        <v>1.0051992409989907</v>
      </c>
      <c r="O21" s="24">
        <f t="shared" ref="O21:O44" si="3">+C$11+C$12*$F21</f>
        <v>0.11078565319782771</v>
      </c>
      <c r="Q21" s="46" t="s">
        <v>139</v>
      </c>
    </row>
    <row r="22" spans="1:17" s="24" customFormat="1" ht="12.95" customHeight="1" x14ac:dyDescent="0.2">
      <c r="A22" s="43" t="s">
        <v>61</v>
      </c>
      <c r="B22" s="44" t="s">
        <v>37</v>
      </c>
      <c r="C22" s="43">
        <v>19277.330000000002</v>
      </c>
      <c r="D22" s="45"/>
      <c r="E22" s="24">
        <f t="shared" si="0"/>
        <v>-1781.0143670187654</v>
      </c>
      <c r="F22" s="24">
        <f t="shared" si="1"/>
        <v>-1781</v>
      </c>
      <c r="G22" s="24">
        <f t="shared" si="2"/>
        <v>-7.0527948999369983E-2</v>
      </c>
      <c r="I22" s="24">
        <f>+G22</f>
        <v>-7.0527948999369983E-2</v>
      </c>
      <c r="O22" s="24">
        <f t="shared" si="3"/>
        <v>8.0436778132874365E-2</v>
      </c>
      <c r="Q22" s="46">
        <f t="shared" ref="Q21:Q44" si="4">+C22-15018.5</f>
        <v>4258.8300000000017</v>
      </c>
    </row>
    <row r="23" spans="1:17" s="24" customFormat="1" ht="12.95" customHeight="1" x14ac:dyDescent="0.2">
      <c r="A23" s="43" t="s">
        <v>61</v>
      </c>
      <c r="B23" s="44" t="s">
        <v>37</v>
      </c>
      <c r="C23" s="43">
        <v>21044.33</v>
      </c>
      <c r="D23" s="45"/>
      <c r="E23" s="24">
        <f t="shared" si="0"/>
        <v>-1421.0645525296989</v>
      </c>
      <c r="F23" s="24">
        <f t="shared" si="1"/>
        <v>-1421</v>
      </c>
      <c r="G23" s="24">
        <f t="shared" si="2"/>
        <v>-0.31688950899842894</v>
      </c>
      <c r="I23" s="24">
        <f>+G23</f>
        <v>-0.31688950899842894</v>
      </c>
      <c r="O23" s="24">
        <f t="shared" si="3"/>
        <v>6.8160828668398843E-2</v>
      </c>
      <c r="Q23" s="46">
        <f t="shared" si="4"/>
        <v>6025.8300000000017</v>
      </c>
    </row>
    <row r="24" spans="1:17" s="24" customFormat="1" ht="12.95" customHeight="1" x14ac:dyDescent="0.2">
      <c r="A24" s="43" t="s">
        <v>61</v>
      </c>
      <c r="B24" s="44" t="s">
        <v>37</v>
      </c>
      <c r="C24" s="43">
        <v>21054.5</v>
      </c>
      <c r="D24" s="34"/>
      <c r="E24" s="24">
        <f t="shared" si="0"/>
        <v>-1418.9928549556448</v>
      </c>
      <c r="F24" s="24">
        <f t="shared" si="1"/>
        <v>-1419</v>
      </c>
      <c r="G24" s="24">
        <f t="shared" si="2"/>
        <v>3.5075149000476813E-2</v>
      </c>
      <c r="I24" s="24">
        <f>+G24</f>
        <v>3.5075149000476813E-2</v>
      </c>
      <c r="O24" s="24">
        <f t="shared" si="3"/>
        <v>6.8092628949151759E-2</v>
      </c>
      <c r="Q24" s="46">
        <f t="shared" si="4"/>
        <v>6036</v>
      </c>
    </row>
    <row r="25" spans="1:17" s="24" customFormat="1" ht="12.95" customHeight="1" x14ac:dyDescent="0.2">
      <c r="A25" s="43" t="s">
        <v>61</v>
      </c>
      <c r="B25" s="44" t="s">
        <v>37</v>
      </c>
      <c r="C25" s="43">
        <v>21095.360000000001</v>
      </c>
      <c r="D25" s="34"/>
      <c r="E25" s="24">
        <f t="shared" si="0"/>
        <v>-1410.6693974457278</v>
      </c>
      <c r="F25" s="24">
        <f t="shared" si="1"/>
        <v>-1410.5</v>
      </c>
      <c r="G25" s="24">
        <f t="shared" si="2"/>
        <v>-0.83157505450071767</v>
      </c>
      <c r="I25" s="24">
        <f>+G25</f>
        <v>-0.83157505450071767</v>
      </c>
      <c r="O25" s="24">
        <f t="shared" si="3"/>
        <v>6.7802780142351637E-2</v>
      </c>
      <c r="Q25" s="46">
        <f t="shared" si="4"/>
        <v>6076.8600000000006</v>
      </c>
    </row>
    <row r="26" spans="1:17" s="24" customFormat="1" ht="12.95" customHeight="1" x14ac:dyDescent="0.2">
      <c r="A26" s="43" t="s">
        <v>61</v>
      </c>
      <c r="B26" s="44" t="s">
        <v>31</v>
      </c>
      <c r="C26" s="43">
        <v>21106.36</v>
      </c>
      <c r="D26" s="34"/>
      <c r="E26" s="24">
        <f t="shared" si="0"/>
        <v>-1408.4286232751676</v>
      </c>
      <c r="F26" s="24">
        <f t="shared" si="1"/>
        <v>-1408.5</v>
      </c>
      <c r="G26" s="24">
        <f t="shared" si="2"/>
        <v>0.35038960349993431</v>
      </c>
      <c r="I26" s="24">
        <f>+G26</f>
        <v>0.35038960349993431</v>
      </c>
      <c r="O26" s="24">
        <f t="shared" si="3"/>
        <v>6.7734580423104554E-2</v>
      </c>
      <c r="Q26" s="46">
        <f t="shared" si="4"/>
        <v>6087.8600000000006</v>
      </c>
    </row>
    <row r="27" spans="1:17" s="24" customFormat="1" ht="12.95" customHeight="1" x14ac:dyDescent="0.2">
      <c r="A27" s="43" t="s">
        <v>61</v>
      </c>
      <c r="B27" s="44" t="s">
        <v>37</v>
      </c>
      <c r="C27" s="43">
        <v>25002.49</v>
      </c>
      <c r="D27" s="34"/>
      <c r="E27" s="24">
        <f t="shared" si="0"/>
        <v>-614.76067153476731</v>
      </c>
      <c r="F27" s="24">
        <f t="shared" si="1"/>
        <v>-615</v>
      </c>
      <c r="G27" s="24">
        <f t="shared" si="2"/>
        <v>1.1748676650022389</v>
      </c>
      <c r="I27" s="24">
        <f>+G27</f>
        <v>1.1748676650022389</v>
      </c>
      <c r="O27" s="24">
        <f t="shared" si="3"/>
        <v>4.0676341811823113E-2</v>
      </c>
      <c r="Q27" s="46">
        <f t="shared" si="4"/>
        <v>9983.9900000000016</v>
      </c>
    </row>
    <row r="28" spans="1:17" s="24" customFormat="1" ht="12.95" customHeight="1" x14ac:dyDescent="0.2">
      <c r="A28" s="24" t="s">
        <v>12</v>
      </c>
      <c r="C28" s="47">
        <v>28020.361000000001</v>
      </c>
      <c r="D28" s="47" t="s">
        <v>14</v>
      </c>
      <c r="E28" s="24">
        <f t="shared" si="0"/>
        <v>0</v>
      </c>
      <c r="F28" s="24">
        <f t="shared" si="1"/>
        <v>0</v>
      </c>
      <c r="H28" s="24">
        <v>0</v>
      </c>
      <c r="O28" s="24">
        <f t="shared" si="3"/>
        <v>1.9704928143344104E-2</v>
      </c>
      <c r="Q28" s="46">
        <f t="shared" si="4"/>
        <v>13001.861000000001</v>
      </c>
    </row>
    <row r="29" spans="1:17" s="24" customFormat="1" ht="12.95" customHeight="1" x14ac:dyDescent="0.2">
      <c r="A29" s="43" t="s">
        <v>84</v>
      </c>
      <c r="B29" s="44" t="s">
        <v>37</v>
      </c>
      <c r="C29" s="43">
        <v>28020.42</v>
      </c>
      <c r="D29" s="34"/>
      <c r="E29" s="24">
        <f t="shared" si="0"/>
        <v>1.2018697823397583E-2</v>
      </c>
      <c r="F29" s="24">
        <f t="shared" si="1"/>
        <v>0</v>
      </c>
      <c r="G29" s="24">
        <f t="shared" ref="G29:G44" si="5">+C29-(C$7+F29*C$8)</f>
        <v>5.8999999997467967E-2</v>
      </c>
      <c r="I29" s="24">
        <f>+G29</f>
        <v>5.8999999997467967E-2</v>
      </c>
      <c r="O29" s="24">
        <f t="shared" si="3"/>
        <v>1.9704928143344104E-2</v>
      </c>
      <c r="Q29" s="46">
        <f t="shared" si="4"/>
        <v>13001.919999999998</v>
      </c>
    </row>
    <row r="30" spans="1:17" s="24" customFormat="1" ht="12.95" customHeight="1" x14ac:dyDescent="0.2">
      <c r="A30" s="43" t="s">
        <v>84</v>
      </c>
      <c r="B30" s="44" t="s">
        <v>37</v>
      </c>
      <c r="C30" s="43">
        <v>28398.42</v>
      </c>
      <c r="D30" s="34"/>
      <c r="E30" s="24">
        <f t="shared" si="0"/>
        <v>77.013167467980267</v>
      </c>
      <c r="F30" s="24">
        <f t="shared" si="1"/>
        <v>77</v>
      </c>
      <c r="G30" s="24">
        <f t="shared" si="5"/>
        <v>6.4639332998922328E-2</v>
      </c>
      <c r="I30" s="24">
        <f>+G30</f>
        <v>6.4639332998922328E-2</v>
      </c>
      <c r="O30" s="24">
        <f t="shared" si="3"/>
        <v>1.7079238952331287E-2</v>
      </c>
      <c r="Q30" s="46">
        <f t="shared" si="4"/>
        <v>13379.919999999998</v>
      </c>
    </row>
    <row r="31" spans="1:17" s="24" customFormat="1" ht="12.95" customHeight="1" x14ac:dyDescent="0.2">
      <c r="A31" s="43" t="s">
        <v>84</v>
      </c>
      <c r="B31" s="44" t="s">
        <v>37</v>
      </c>
      <c r="C31" s="43">
        <v>28432.400000000001</v>
      </c>
      <c r="D31" s="34"/>
      <c r="E31" s="24">
        <f t="shared" si="0"/>
        <v>83.935122587583919</v>
      </c>
      <c r="F31" s="24">
        <f t="shared" si="1"/>
        <v>84</v>
      </c>
      <c r="G31" s="24">
        <f t="shared" si="5"/>
        <v>-0.31848436400105129</v>
      </c>
      <c r="I31" s="24">
        <f>+G31</f>
        <v>-0.31848436400105129</v>
      </c>
      <c r="O31" s="24">
        <f t="shared" si="3"/>
        <v>1.6840539934966484E-2</v>
      </c>
      <c r="Q31" s="46">
        <f t="shared" si="4"/>
        <v>13413.900000000001</v>
      </c>
    </row>
    <row r="32" spans="1:17" s="24" customFormat="1" ht="12.95" customHeight="1" x14ac:dyDescent="0.2">
      <c r="A32" s="43" t="s">
        <v>84</v>
      </c>
      <c r="B32" s="44" t="s">
        <v>37</v>
      </c>
      <c r="C32" s="43">
        <v>28658.5</v>
      </c>
      <c r="D32" s="34"/>
      <c r="E32" s="24">
        <f t="shared" si="0"/>
        <v>129.99321712973301</v>
      </c>
      <c r="F32" s="24">
        <f t="shared" si="1"/>
        <v>130</v>
      </c>
      <c r="G32" s="24">
        <f t="shared" si="5"/>
        <v>-3.3297230002062861E-2</v>
      </c>
      <c r="I32" s="24">
        <f>+G32</f>
        <v>-3.3297230002062861E-2</v>
      </c>
      <c r="O32" s="24">
        <f t="shared" si="3"/>
        <v>1.5271946392283502E-2</v>
      </c>
      <c r="Q32" s="46">
        <f t="shared" si="4"/>
        <v>13640</v>
      </c>
    </row>
    <row r="33" spans="1:17" x14ac:dyDescent="0.2">
      <c r="A33" s="22" t="s">
        <v>84</v>
      </c>
      <c r="B33" s="23" t="s">
        <v>37</v>
      </c>
      <c r="C33" s="22">
        <v>28717.45</v>
      </c>
      <c r="D33" s="2"/>
      <c r="E33">
        <f t="shared" si="0"/>
        <v>142.00172961650762</v>
      </c>
      <c r="F33">
        <f t="shared" si="1"/>
        <v>142</v>
      </c>
      <c r="G33">
        <f t="shared" si="5"/>
        <v>8.490717998938635E-3</v>
      </c>
      <c r="I33">
        <f>+G33</f>
        <v>8.490717998938635E-3</v>
      </c>
      <c r="O33">
        <f t="shared" si="3"/>
        <v>1.4862748076800984E-2</v>
      </c>
      <c r="Q33" s="1">
        <f t="shared" si="4"/>
        <v>13698.95</v>
      </c>
    </row>
    <row r="34" spans="1:17" x14ac:dyDescent="0.2">
      <c r="A34" s="22" t="s">
        <v>84</v>
      </c>
      <c r="B34" s="23" t="s">
        <v>37</v>
      </c>
      <c r="C34" s="22">
        <v>29080.46</v>
      </c>
      <c r="D34" s="2"/>
      <c r="E34">
        <f t="shared" si="0"/>
        <v>215.94931431241906</v>
      </c>
      <c r="F34">
        <f t="shared" si="1"/>
        <v>216</v>
      </c>
      <c r="G34">
        <f t="shared" si="5"/>
        <v>-0.2488169360003667</v>
      </c>
      <c r="I34">
        <f>+G34</f>
        <v>-0.2488169360003667</v>
      </c>
      <c r="O34">
        <f t="shared" si="3"/>
        <v>1.2339358464658796E-2</v>
      </c>
      <c r="Q34" s="1">
        <f t="shared" si="4"/>
        <v>14061.96</v>
      </c>
    </row>
    <row r="35" spans="1:17" x14ac:dyDescent="0.2">
      <c r="A35" s="22" t="s">
        <v>84</v>
      </c>
      <c r="B35" s="23" t="s">
        <v>37</v>
      </c>
      <c r="C35" s="22">
        <v>29159.33</v>
      </c>
      <c r="D35" s="2"/>
      <c r="E35">
        <f t="shared" si="0"/>
        <v>232.01566511533565</v>
      </c>
      <c r="F35">
        <f t="shared" si="1"/>
        <v>232</v>
      </c>
      <c r="G35">
        <f t="shared" si="5"/>
        <v>7.690032800019253E-2</v>
      </c>
      <c r="I35">
        <f>+G35</f>
        <v>7.690032800019253E-2</v>
      </c>
      <c r="O35">
        <f t="shared" si="3"/>
        <v>1.1793760710682106E-2</v>
      </c>
      <c r="Q35" s="1">
        <f t="shared" si="4"/>
        <v>14140.830000000002</v>
      </c>
    </row>
    <row r="36" spans="1:17" x14ac:dyDescent="0.2">
      <c r="A36" s="22" t="s">
        <v>84</v>
      </c>
      <c r="B36" s="23" t="s">
        <v>37</v>
      </c>
      <c r="C36" s="22">
        <v>29193.35</v>
      </c>
      <c r="D36" s="2"/>
      <c r="E36">
        <f t="shared" si="0"/>
        <v>238.94576850464912</v>
      </c>
      <c r="F36">
        <f t="shared" si="1"/>
        <v>239</v>
      </c>
      <c r="G36">
        <f t="shared" si="5"/>
        <v>-0.26622336900254595</v>
      </c>
      <c r="I36">
        <f>+G36</f>
        <v>-0.26622336900254595</v>
      </c>
      <c r="O36">
        <f t="shared" si="3"/>
        <v>1.1555061693317303E-2</v>
      </c>
      <c r="Q36" s="1">
        <f t="shared" si="4"/>
        <v>14174.849999999999</v>
      </c>
    </row>
    <row r="37" spans="1:17" x14ac:dyDescent="0.2">
      <c r="A37" s="22" t="s">
        <v>84</v>
      </c>
      <c r="B37" s="23" t="s">
        <v>37</v>
      </c>
      <c r="C37" s="22">
        <v>29851.41</v>
      </c>
      <c r="D37" s="2"/>
      <c r="E37">
        <f t="shared" si="0"/>
        <v>372.99702765726693</v>
      </c>
      <c r="F37">
        <f t="shared" si="1"/>
        <v>373</v>
      </c>
      <c r="G37">
        <f t="shared" si="5"/>
        <v>-1.4591283001209376E-2</v>
      </c>
      <c r="I37">
        <f>+G37</f>
        <v>-1.4591283001209376E-2</v>
      </c>
      <c r="O37">
        <f t="shared" si="3"/>
        <v>6.9856805037625293E-3</v>
      </c>
      <c r="Q37" s="1">
        <f t="shared" si="4"/>
        <v>14832.91</v>
      </c>
    </row>
    <row r="38" spans="1:17" x14ac:dyDescent="0.2">
      <c r="A38" s="22" t="s">
        <v>112</v>
      </c>
      <c r="B38" s="23" t="s">
        <v>37</v>
      </c>
      <c r="C38" s="22">
        <v>34799.576999999997</v>
      </c>
      <c r="D38" s="2"/>
      <c r="E38">
        <f t="shared" si="0"/>
        <v>1380.9720099498084</v>
      </c>
      <c r="F38">
        <f t="shared" si="1"/>
        <v>1381</v>
      </c>
      <c r="G38">
        <f t="shared" si="5"/>
        <v>-0.13740365100238705</v>
      </c>
      <c r="I38">
        <f>+G38</f>
        <v>-0.13740365100238705</v>
      </c>
      <c r="O38">
        <f t="shared" si="3"/>
        <v>-2.738697799676891E-2</v>
      </c>
      <c r="Q38" s="1">
        <f t="shared" si="4"/>
        <v>19781.076999999997</v>
      </c>
    </row>
    <row r="39" spans="1:17" x14ac:dyDescent="0.2">
      <c r="A39" s="22" t="s">
        <v>112</v>
      </c>
      <c r="B39" s="23" t="s">
        <v>37</v>
      </c>
      <c r="C39" s="22">
        <v>36090.622000000003</v>
      </c>
      <c r="D39" s="2"/>
      <c r="E39">
        <f t="shared" si="0"/>
        <v>1643.9665816798813</v>
      </c>
      <c r="F39">
        <f t="shared" si="1"/>
        <v>1644</v>
      </c>
      <c r="G39">
        <f t="shared" si="5"/>
        <v>-0.16405112399661448</v>
      </c>
      <c r="I39">
        <f>+G39</f>
        <v>-0.16405112399661448</v>
      </c>
      <c r="O39">
        <f t="shared" si="3"/>
        <v>-3.6355241077760746E-2</v>
      </c>
      <c r="Q39" s="1">
        <f t="shared" si="4"/>
        <v>21072.122000000003</v>
      </c>
    </row>
    <row r="40" spans="1:17" x14ac:dyDescent="0.2">
      <c r="A40" s="22" t="s">
        <v>121</v>
      </c>
      <c r="B40" s="23" t="s">
        <v>37</v>
      </c>
      <c r="C40" s="22">
        <v>46649.464999999997</v>
      </c>
      <c r="D40" s="2"/>
      <c r="E40">
        <f t="shared" si="0"/>
        <v>3794.8740967162016</v>
      </c>
      <c r="F40">
        <f t="shared" si="1"/>
        <v>3795</v>
      </c>
      <c r="G40">
        <f t="shared" si="5"/>
        <v>-0.61806144500587834</v>
      </c>
      <c r="I40">
        <f>+G40</f>
        <v>-0.61806144500587834</v>
      </c>
      <c r="O40">
        <f t="shared" si="3"/>
        <v>-0.10970403912800195</v>
      </c>
      <c r="Q40" s="1">
        <f t="shared" si="4"/>
        <v>31630.964999999997</v>
      </c>
    </row>
    <row r="41" spans="1:17" x14ac:dyDescent="0.2">
      <c r="A41" t="s">
        <v>30</v>
      </c>
      <c r="B41" s="2" t="s">
        <v>31</v>
      </c>
      <c r="C41" s="3">
        <v>51443.738816808102</v>
      </c>
      <c r="D41" s="3"/>
      <c r="E41">
        <f t="shared" si="0"/>
        <v>4771.4999999249549</v>
      </c>
      <c r="F41">
        <f t="shared" si="1"/>
        <v>4771.5</v>
      </c>
      <c r="G41">
        <f t="shared" si="5"/>
        <v>-3.684035618789494E-7</v>
      </c>
      <c r="I41">
        <f>+G41</f>
        <v>-3.684035618789494E-7</v>
      </c>
      <c r="O41">
        <f t="shared" si="3"/>
        <v>-0.14300255205039178</v>
      </c>
      <c r="Q41" s="1">
        <f t="shared" si="4"/>
        <v>36425.238816808102</v>
      </c>
    </row>
    <row r="42" spans="1:17" x14ac:dyDescent="0.2">
      <c r="A42" s="5" t="s">
        <v>36</v>
      </c>
      <c r="B42" s="6" t="s">
        <v>37</v>
      </c>
      <c r="C42" s="7">
        <v>54023.415800000002</v>
      </c>
      <c r="D42" s="4">
        <v>2.0000000000000001E-4</v>
      </c>
      <c r="E42">
        <f t="shared" si="0"/>
        <v>5296.9975955908512</v>
      </c>
      <c r="F42">
        <f t="shared" si="1"/>
        <v>5297</v>
      </c>
      <c r="G42">
        <f t="shared" si="5"/>
        <v>-1.180328699410893E-2</v>
      </c>
      <c r="K42">
        <f>+G42</f>
        <v>-1.180328699410893E-2</v>
      </c>
      <c r="O42">
        <f t="shared" si="3"/>
        <v>-0.16092202828256369</v>
      </c>
      <c r="Q42" s="1">
        <f t="shared" si="4"/>
        <v>39004.915800000002</v>
      </c>
    </row>
    <row r="43" spans="1:17" x14ac:dyDescent="0.2">
      <c r="A43" s="22" t="s">
        <v>134</v>
      </c>
      <c r="B43" s="23" t="s">
        <v>37</v>
      </c>
      <c r="C43" s="22">
        <v>55790.705499999996</v>
      </c>
      <c r="D43" s="2"/>
      <c r="E43">
        <f t="shared" si="0"/>
        <v>5657.0064239232997</v>
      </c>
      <c r="F43">
        <f t="shared" si="1"/>
        <v>5657</v>
      </c>
      <c r="G43">
        <f t="shared" si="5"/>
        <v>3.1535153000731952E-2</v>
      </c>
      <c r="K43">
        <f>+G43</f>
        <v>3.1535153000731952E-2</v>
      </c>
      <c r="O43">
        <f t="shared" si="3"/>
        <v>-0.17319797774703921</v>
      </c>
      <c r="Q43" s="1">
        <f t="shared" si="4"/>
        <v>40772.205499999996</v>
      </c>
    </row>
    <row r="44" spans="1:17" x14ac:dyDescent="0.2">
      <c r="A44" s="22" t="s">
        <v>134</v>
      </c>
      <c r="B44" s="23" t="s">
        <v>37</v>
      </c>
      <c r="C44" s="22">
        <v>55805.4329</v>
      </c>
      <c r="D44" s="2"/>
      <c r="E44">
        <f t="shared" si="0"/>
        <v>5660.0064946068924</v>
      </c>
      <c r="F44">
        <f t="shared" si="1"/>
        <v>5660</v>
      </c>
      <c r="G44">
        <f t="shared" si="5"/>
        <v>3.1882139999652281E-2</v>
      </c>
      <c r="K44">
        <f>+G44</f>
        <v>3.1882139999652281E-2</v>
      </c>
      <c r="O44">
        <f t="shared" si="3"/>
        <v>-0.17330027732590983</v>
      </c>
      <c r="Q44" s="1">
        <f t="shared" si="4"/>
        <v>40786.9329</v>
      </c>
    </row>
    <row r="45" spans="1:17" x14ac:dyDescent="0.2">
      <c r="B45" s="2"/>
      <c r="D45" s="2"/>
    </row>
    <row r="46" spans="1:17" x14ac:dyDescent="0.2">
      <c r="D46" s="2"/>
    </row>
    <row r="47" spans="1:17" x14ac:dyDescent="0.2">
      <c r="D47" s="2"/>
    </row>
    <row r="48" spans="1:17" x14ac:dyDescent="0.2">
      <c r="D48" s="2"/>
    </row>
    <row r="49" spans="4:4" x14ac:dyDescent="0.2">
      <c r="D49" s="2"/>
    </row>
    <row r="50" spans="4:4" x14ac:dyDescent="0.2">
      <c r="D50" s="2"/>
    </row>
    <row r="51" spans="4:4" x14ac:dyDescent="0.2">
      <c r="D51" s="2"/>
    </row>
    <row r="52" spans="4:4" x14ac:dyDescent="0.2">
      <c r="D52" s="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2"/>
  <sheetViews>
    <sheetView topLeftCell="A3" workbookViewId="0">
      <selection activeCell="A12" sqref="A12:C32"/>
    </sheetView>
  </sheetViews>
  <sheetFormatPr defaultRowHeight="12.75" x14ac:dyDescent="0.2"/>
  <cols>
    <col min="1" max="1" width="19.7109375" style="4" customWidth="1"/>
    <col min="2" max="2" width="4.42578125" style="8" customWidth="1"/>
    <col min="3" max="3" width="12.7109375" style="4" customWidth="1"/>
    <col min="4" max="4" width="5.42578125" style="8" customWidth="1"/>
    <col min="5" max="5" width="14.85546875" style="8" customWidth="1"/>
    <col min="6" max="6" width="9.140625" style="8"/>
    <col min="7" max="7" width="12" style="8" customWidth="1"/>
    <col min="8" max="8" width="14.140625" style="4" customWidth="1"/>
    <col min="9" max="9" width="22.5703125" style="8" customWidth="1"/>
    <col min="10" max="10" width="25.140625" style="8" customWidth="1"/>
    <col min="11" max="11" width="15.7109375" style="8" customWidth="1"/>
    <col min="12" max="12" width="14.140625" style="8" customWidth="1"/>
    <col min="13" max="13" width="9.5703125" style="8" customWidth="1"/>
    <col min="14" max="14" width="14.140625" style="8" customWidth="1"/>
    <col min="15" max="15" width="23.42578125" style="8" customWidth="1"/>
    <col min="16" max="16" width="16.5703125" style="8" customWidth="1"/>
    <col min="17" max="17" width="41" style="8" customWidth="1"/>
    <col min="18" max="16384" width="9.140625" style="8"/>
  </cols>
  <sheetData>
    <row r="1" spans="1:16" ht="15.75" x14ac:dyDescent="0.25">
      <c r="A1" s="9" t="s">
        <v>44</v>
      </c>
      <c r="I1" s="10" t="s">
        <v>45</v>
      </c>
      <c r="J1" s="11" t="s">
        <v>46</v>
      </c>
    </row>
    <row r="2" spans="1:16" x14ac:dyDescent="0.2">
      <c r="I2" s="12" t="s">
        <v>47</v>
      </c>
      <c r="J2" s="13" t="s">
        <v>48</v>
      </c>
    </row>
    <row r="3" spans="1:16" x14ac:dyDescent="0.2">
      <c r="A3" s="14" t="s">
        <v>49</v>
      </c>
      <c r="I3" s="12" t="s">
        <v>50</v>
      </c>
      <c r="J3" s="13" t="s">
        <v>51</v>
      </c>
    </row>
    <row r="4" spans="1:16" x14ac:dyDescent="0.2">
      <c r="I4" s="12" t="s">
        <v>52</v>
      </c>
      <c r="J4" s="13" t="s">
        <v>51</v>
      </c>
    </row>
    <row r="5" spans="1:16" ht="13.5" thickBot="1" x14ac:dyDescent="0.25">
      <c r="I5" s="15" t="s">
        <v>53</v>
      </c>
      <c r="J5" s="16" t="s">
        <v>54</v>
      </c>
    </row>
    <row r="10" spans="1:16" ht="13.5" thickBot="1" x14ac:dyDescent="0.25"/>
    <row r="11" spans="1:16" ht="12.75" customHeight="1" thickBot="1" x14ac:dyDescent="0.25">
      <c r="A11" s="4" t="str">
        <f t="shared" ref="A11:A32" si="0">P11</f>
        <v>BAVM 183 </v>
      </c>
      <c r="B11" s="2" t="str">
        <f t="shared" ref="B11:B32" si="1">IF(H11=INT(H11),"I","II")</f>
        <v>I</v>
      </c>
      <c r="C11" s="4">
        <f t="shared" ref="C11:C32" si="2">1*G11</f>
        <v>54023.415800000002</v>
      </c>
      <c r="D11" s="8" t="str">
        <f t="shared" ref="D11:D32" si="3">VLOOKUP(F11,I$1:J$5,2,FALSE)</f>
        <v>vis</v>
      </c>
      <c r="E11" s="17">
        <f>VLOOKUP(C11,Active!C$21:E$973,3,FALSE)</f>
        <v>5296.9975955908512</v>
      </c>
      <c r="F11" s="2" t="s">
        <v>53</v>
      </c>
      <c r="G11" s="8" t="str">
        <f t="shared" ref="G11:G32" si="4">MID(I11,3,LEN(I11)-3)</f>
        <v>54023.4158</v>
      </c>
      <c r="H11" s="4">
        <f t="shared" ref="H11:H32" si="5">1*K11</f>
        <v>5297</v>
      </c>
      <c r="I11" s="18" t="s">
        <v>122</v>
      </c>
      <c r="J11" s="19" t="s">
        <v>123</v>
      </c>
      <c r="K11" s="18">
        <v>5297</v>
      </c>
      <c r="L11" s="18" t="s">
        <v>124</v>
      </c>
      <c r="M11" s="19" t="s">
        <v>125</v>
      </c>
      <c r="N11" s="19" t="s">
        <v>126</v>
      </c>
      <c r="O11" s="20" t="s">
        <v>127</v>
      </c>
      <c r="P11" s="21" t="s">
        <v>128</v>
      </c>
    </row>
    <row r="12" spans="1:16" ht="12.75" customHeight="1" thickBot="1" x14ac:dyDescent="0.25">
      <c r="A12" s="4" t="str">
        <f t="shared" si="0"/>
        <v> PZ 4.313 </v>
      </c>
      <c r="B12" s="2" t="str">
        <f t="shared" si="1"/>
        <v>I</v>
      </c>
      <c r="C12" s="4">
        <f t="shared" si="2"/>
        <v>14909.38</v>
      </c>
      <c r="D12" s="8" t="str">
        <f t="shared" si="3"/>
        <v>vis</v>
      </c>
      <c r="E12" s="17">
        <f>VLOOKUP(C12,Active!C$21:E$973,3,FALSE)</f>
        <v>-2670.7952341367732</v>
      </c>
      <c r="F12" s="2" t="s">
        <v>53</v>
      </c>
      <c r="G12" s="8" t="str">
        <f t="shared" si="4"/>
        <v>14909.38</v>
      </c>
      <c r="H12" s="4">
        <f t="shared" si="5"/>
        <v>-2671</v>
      </c>
      <c r="I12" s="18" t="s">
        <v>56</v>
      </c>
      <c r="J12" s="19" t="s">
        <v>57</v>
      </c>
      <c r="K12" s="18">
        <v>-2671</v>
      </c>
      <c r="L12" s="18" t="s">
        <v>58</v>
      </c>
      <c r="M12" s="19" t="s">
        <v>59</v>
      </c>
      <c r="N12" s="19"/>
      <c r="O12" s="20" t="s">
        <v>60</v>
      </c>
      <c r="P12" s="20" t="s">
        <v>61</v>
      </c>
    </row>
    <row r="13" spans="1:16" ht="12.75" customHeight="1" thickBot="1" x14ac:dyDescent="0.25">
      <c r="A13" s="4" t="str">
        <f t="shared" si="0"/>
        <v> PZ 4.313 </v>
      </c>
      <c r="B13" s="2" t="str">
        <f t="shared" si="1"/>
        <v>I</v>
      </c>
      <c r="C13" s="4">
        <f t="shared" si="2"/>
        <v>19277.330000000002</v>
      </c>
      <c r="D13" s="8" t="str">
        <f t="shared" si="3"/>
        <v>vis</v>
      </c>
      <c r="E13" s="17">
        <f>VLOOKUP(C13,Active!C$21:E$973,3,FALSE)</f>
        <v>-1781.0143670187654</v>
      </c>
      <c r="F13" s="2" t="s">
        <v>53</v>
      </c>
      <c r="G13" s="8" t="str">
        <f t="shared" si="4"/>
        <v>19277.33</v>
      </c>
      <c r="H13" s="4">
        <f t="shared" si="5"/>
        <v>-1781</v>
      </c>
      <c r="I13" s="18" t="s">
        <v>62</v>
      </c>
      <c r="J13" s="19" t="s">
        <v>63</v>
      </c>
      <c r="K13" s="18">
        <v>-1781</v>
      </c>
      <c r="L13" s="18" t="s">
        <v>64</v>
      </c>
      <c r="M13" s="19" t="s">
        <v>59</v>
      </c>
      <c r="N13" s="19"/>
      <c r="O13" s="20" t="s">
        <v>60</v>
      </c>
      <c r="P13" s="20" t="s">
        <v>61</v>
      </c>
    </row>
    <row r="14" spans="1:16" ht="12.75" customHeight="1" thickBot="1" x14ac:dyDescent="0.25">
      <c r="A14" s="4" t="str">
        <f t="shared" si="0"/>
        <v> PZ 4.313 </v>
      </c>
      <c r="B14" s="2" t="str">
        <f t="shared" si="1"/>
        <v>I</v>
      </c>
      <c r="C14" s="4">
        <f t="shared" si="2"/>
        <v>21044.33</v>
      </c>
      <c r="D14" s="8" t="str">
        <f t="shared" si="3"/>
        <v>vis</v>
      </c>
      <c r="E14" s="17">
        <f>VLOOKUP(C14,Active!C$21:E$973,3,FALSE)</f>
        <v>-1421.0645525296989</v>
      </c>
      <c r="F14" s="2" t="s">
        <v>53</v>
      </c>
      <c r="G14" s="8" t="str">
        <f t="shared" si="4"/>
        <v>21044.33</v>
      </c>
      <c r="H14" s="4">
        <f t="shared" si="5"/>
        <v>-1421</v>
      </c>
      <c r="I14" s="18" t="s">
        <v>65</v>
      </c>
      <c r="J14" s="19" t="s">
        <v>66</v>
      </c>
      <c r="K14" s="18">
        <v>-1421</v>
      </c>
      <c r="L14" s="18" t="s">
        <v>67</v>
      </c>
      <c r="M14" s="19" t="s">
        <v>59</v>
      </c>
      <c r="N14" s="19"/>
      <c r="O14" s="20" t="s">
        <v>60</v>
      </c>
      <c r="P14" s="20" t="s">
        <v>61</v>
      </c>
    </row>
    <row r="15" spans="1:16" ht="12.75" customHeight="1" thickBot="1" x14ac:dyDescent="0.25">
      <c r="A15" s="4" t="str">
        <f t="shared" si="0"/>
        <v> PZ 4.313 </v>
      </c>
      <c r="B15" s="2" t="str">
        <f t="shared" si="1"/>
        <v>I</v>
      </c>
      <c r="C15" s="4">
        <f t="shared" si="2"/>
        <v>21054.5</v>
      </c>
      <c r="D15" s="8" t="str">
        <f t="shared" si="3"/>
        <v>vis</v>
      </c>
      <c r="E15" s="17">
        <f>VLOOKUP(C15,Active!C$21:E$973,3,FALSE)</f>
        <v>-1418.9928549556448</v>
      </c>
      <c r="F15" s="2" t="s">
        <v>53</v>
      </c>
      <c r="G15" s="8" t="str">
        <f t="shared" si="4"/>
        <v>21054.50</v>
      </c>
      <c r="H15" s="4">
        <f t="shared" si="5"/>
        <v>-1419</v>
      </c>
      <c r="I15" s="18" t="s">
        <v>68</v>
      </c>
      <c r="J15" s="19" t="s">
        <v>69</v>
      </c>
      <c r="K15" s="18">
        <v>-1419</v>
      </c>
      <c r="L15" s="18" t="s">
        <v>70</v>
      </c>
      <c r="M15" s="19" t="s">
        <v>59</v>
      </c>
      <c r="N15" s="19"/>
      <c r="O15" s="20" t="s">
        <v>60</v>
      </c>
      <c r="P15" s="20" t="s">
        <v>61</v>
      </c>
    </row>
    <row r="16" spans="1:16" ht="12.75" customHeight="1" thickBot="1" x14ac:dyDescent="0.25">
      <c r="A16" s="4" t="str">
        <f t="shared" si="0"/>
        <v> PZ 4.313 </v>
      </c>
      <c r="B16" s="2" t="str">
        <f t="shared" si="1"/>
        <v>I</v>
      </c>
      <c r="C16" s="4">
        <f t="shared" si="2"/>
        <v>21095.360000000001</v>
      </c>
      <c r="D16" s="8" t="str">
        <f t="shared" si="3"/>
        <v>vis</v>
      </c>
      <c r="E16" s="17">
        <f>VLOOKUP(C16,Active!C$21:E$973,3,FALSE)</f>
        <v>-1410.6693974457278</v>
      </c>
      <c r="F16" s="2" t="s">
        <v>53</v>
      </c>
      <c r="G16" s="8" t="str">
        <f t="shared" si="4"/>
        <v>21095.36</v>
      </c>
      <c r="H16" s="4">
        <f t="shared" si="5"/>
        <v>-1411</v>
      </c>
      <c r="I16" s="18" t="s">
        <v>71</v>
      </c>
      <c r="J16" s="19" t="s">
        <v>72</v>
      </c>
      <c r="K16" s="18">
        <v>-1411</v>
      </c>
      <c r="L16" s="18" t="s">
        <v>73</v>
      </c>
      <c r="M16" s="19" t="s">
        <v>59</v>
      </c>
      <c r="N16" s="19"/>
      <c r="O16" s="20" t="s">
        <v>60</v>
      </c>
      <c r="P16" s="20" t="s">
        <v>61</v>
      </c>
    </row>
    <row r="17" spans="1:16" ht="12.75" customHeight="1" thickBot="1" x14ac:dyDescent="0.25">
      <c r="A17" s="4" t="str">
        <f t="shared" si="0"/>
        <v> PZ 4.313 </v>
      </c>
      <c r="B17" s="2" t="str">
        <f t="shared" si="1"/>
        <v>II</v>
      </c>
      <c r="C17" s="4">
        <f t="shared" si="2"/>
        <v>21106.36</v>
      </c>
      <c r="D17" s="8" t="str">
        <f t="shared" si="3"/>
        <v>vis</v>
      </c>
      <c r="E17" s="17">
        <f>VLOOKUP(C17,Active!C$21:E$973,3,FALSE)</f>
        <v>-1408.4286232751676</v>
      </c>
      <c r="F17" s="2" t="s">
        <v>53</v>
      </c>
      <c r="G17" s="8" t="str">
        <f t="shared" si="4"/>
        <v>21106.36</v>
      </c>
      <c r="H17" s="4">
        <f t="shared" si="5"/>
        <v>-1408.5</v>
      </c>
      <c r="I17" s="18" t="s">
        <v>74</v>
      </c>
      <c r="J17" s="19" t="s">
        <v>75</v>
      </c>
      <c r="K17" s="18">
        <v>-1408.5</v>
      </c>
      <c r="L17" s="18" t="s">
        <v>76</v>
      </c>
      <c r="M17" s="19" t="s">
        <v>59</v>
      </c>
      <c r="N17" s="19"/>
      <c r="O17" s="20" t="s">
        <v>60</v>
      </c>
      <c r="P17" s="20" t="s">
        <v>61</v>
      </c>
    </row>
    <row r="18" spans="1:16" ht="12.75" customHeight="1" thickBot="1" x14ac:dyDescent="0.25">
      <c r="A18" s="4" t="str">
        <f t="shared" si="0"/>
        <v> PZ 4.313 </v>
      </c>
      <c r="B18" s="2" t="str">
        <f t="shared" si="1"/>
        <v>I</v>
      </c>
      <c r="C18" s="4">
        <f t="shared" si="2"/>
        <v>25002.49</v>
      </c>
      <c r="D18" s="8" t="str">
        <f t="shared" si="3"/>
        <v>vis</v>
      </c>
      <c r="E18" s="17">
        <f>VLOOKUP(C18,Active!C$21:E$973,3,FALSE)</f>
        <v>-614.76067153476731</v>
      </c>
      <c r="F18" s="2" t="s">
        <v>53</v>
      </c>
      <c r="G18" s="8" t="str">
        <f t="shared" si="4"/>
        <v>25002.49</v>
      </c>
      <c r="H18" s="4">
        <f t="shared" si="5"/>
        <v>-615</v>
      </c>
      <c r="I18" s="18" t="s">
        <v>77</v>
      </c>
      <c r="J18" s="19" t="s">
        <v>78</v>
      </c>
      <c r="K18" s="18">
        <v>-615</v>
      </c>
      <c r="L18" s="18" t="s">
        <v>79</v>
      </c>
      <c r="M18" s="19" t="s">
        <v>59</v>
      </c>
      <c r="N18" s="19"/>
      <c r="O18" s="20" t="s">
        <v>60</v>
      </c>
      <c r="P18" s="20" t="s">
        <v>61</v>
      </c>
    </row>
    <row r="19" spans="1:16" ht="12.75" customHeight="1" thickBot="1" x14ac:dyDescent="0.25">
      <c r="A19" s="4" t="str">
        <f t="shared" si="0"/>
        <v> VSS 1.284 </v>
      </c>
      <c r="B19" s="2" t="str">
        <f t="shared" si="1"/>
        <v>I</v>
      </c>
      <c r="C19" s="4">
        <f t="shared" si="2"/>
        <v>28020.42</v>
      </c>
      <c r="D19" s="8" t="str">
        <f t="shared" si="3"/>
        <v>vis</v>
      </c>
      <c r="E19" s="17">
        <f>VLOOKUP(C19,Active!C$21:E$973,3,FALSE)</f>
        <v>1.2018697823397583E-2</v>
      </c>
      <c r="F19" s="2" t="s">
        <v>53</v>
      </c>
      <c r="G19" s="8" t="str">
        <f t="shared" si="4"/>
        <v>28020.42</v>
      </c>
      <c r="H19" s="4">
        <f t="shared" si="5"/>
        <v>0</v>
      </c>
      <c r="I19" s="18" t="s">
        <v>80</v>
      </c>
      <c r="J19" s="19" t="s">
        <v>81</v>
      </c>
      <c r="K19" s="18">
        <v>0</v>
      </c>
      <c r="L19" s="18" t="s">
        <v>82</v>
      </c>
      <c r="M19" s="19" t="s">
        <v>59</v>
      </c>
      <c r="N19" s="19"/>
      <c r="O19" s="20" t="s">
        <v>83</v>
      </c>
      <c r="P19" s="20" t="s">
        <v>84</v>
      </c>
    </row>
    <row r="20" spans="1:16" ht="12.75" customHeight="1" thickBot="1" x14ac:dyDescent="0.25">
      <c r="A20" s="4" t="str">
        <f t="shared" si="0"/>
        <v> VSS 1.284 </v>
      </c>
      <c r="B20" s="2" t="str">
        <f t="shared" si="1"/>
        <v>I</v>
      </c>
      <c r="C20" s="4">
        <f t="shared" si="2"/>
        <v>28398.42</v>
      </c>
      <c r="D20" s="8" t="str">
        <f t="shared" si="3"/>
        <v>vis</v>
      </c>
      <c r="E20" s="17">
        <f>VLOOKUP(C20,Active!C$21:E$973,3,FALSE)</f>
        <v>77.013167467980267</v>
      </c>
      <c r="F20" s="2" t="s">
        <v>53</v>
      </c>
      <c r="G20" s="8" t="str">
        <f t="shared" si="4"/>
        <v>28398.42</v>
      </c>
      <c r="H20" s="4">
        <f t="shared" si="5"/>
        <v>77</v>
      </c>
      <c r="I20" s="18" t="s">
        <v>85</v>
      </c>
      <c r="J20" s="19" t="s">
        <v>86</v>
      </c>
      <c r="K20" s="18">
        <v>77</v>
      </c>
      <c r="L20" s="18" t="s">
        <v>87</v>
      </c>
      <c r="M20" s="19" t="s">
        <v>59</v>
      </c>
      <c r="N20" s="19"/>
      <c r="O20" s="20" t="s">
        <v>83</v>
      </c>
      <c r="P20" s="20" t="s">
        <v>84</v>
      </c>
    </row>
    <row r="21" spans="1:16" ht="12.75" customHeight="1" thickBot="1" x14ac:dyDescent="0.25">
      <c r="A21" s="4" t="str">
        <f t="shared" si="0"/>
        <v> VSS 1.284 </v>
      </c>
      <c r="B21" s="2" t="str">
        <f t="shared" si="1"/>
        <v>I</v>
      </c>
      <c r="C21" s="4">
        <f t="shared" si="2"/>
        <v>28432.400000000001</v>
      </c>
      <c r="D21" s="8" t="str">
        <f t="shared" si="3"/>
        <v>vis</v>
      </c>
      <c r="E21" s="17">
        <f>VLOOKUP(C21,Active!C$21:E$973,3,FALSE)</f>
        <v>83.935122587583919</v>
      </c>
      <c r="F21" s="2" t="s">
        <v>53</v>
      </c>
      <c r="G21" s="8" t="str">
        <f t="shared" si="4"/>
        <v>28432.40</v>
      </c>
      <c r="H21" s="4">
        <f t="shared" si="5"/>
        <v>84</v>
      </c>
      <c r="I21" s="18" t="s">
        <v>88</v>
      </c>
      <c r="J21" s="19" t="s">
        <v>89</v>
      </c>
      <c r="K21" s="18">
        <v>84</v>
      </c>
      <c r="L21" s="18" t="s">
        <v>90</v>
      </c>
      <c r="M21" s="19" t="s">
        <v>59</v>
      </c>
      <c r="N21" s="19"/>
      <c r="O21" s="20" t="s">
        <v>83</v>
      </c>
      <c r="P21" s="20" t="s">
        <v>84</v>
      </c>
    </row>
    <row r="22" spans="1:16" ht="12.75" customHeight="1" thickBot="1" x14ac:dyDescent="0.25">
      <c r="A22" s="4" t="str">
        <f t="shared" si="0"/>
        <v> VSS 1.284 </v>
      </c>
      <c r="B22" s="2" t="str">
        <f t="shared" si="1"/>
        <v>I</v>
      </c>
      <c r="C22" s="4">
        <f t="shared" si="2"/>
        <v>28658.5</v>
      </c>
      <c r="D22" s="8" t="str">
        <f t="shared" si="3"/>
        <v>vis</v>
      </c>
      <c r="E22" s="17">
        <f>VLOOKUP(C22,Active!C$21:E$973,3,FALSE)</f>
        <v>129.99321712973301</v>
      </c>
      <c r="F22" s="2" t="s">
        <v>53</v>
      </c>
      <c r="G22" s="8" t="str">
        <f t="shared" si="4"/>
        <v>28658.50</v>
      </c>
      <c r="H22" s="4">
        <f t="shared" si="5"/>
        <v>130</v>
      </c>
      <c r="I22" s="18" t="s">
        <v>91</v>
      </c>
      <c r="J22" s="19" t="s">
        <v>92</v>
      </c>
      <c r="K22" s="18">
        <v>130</v>
      </c>
      <c r="L22" s="18" t="s">
        <v>93</v>
      </c>
      <c r="M22" s="19" t="s">
        <v>59</v>
      </c>
      <c r="N22" s="19"/>
      <c r="O22" s="20" t="s">
        <v>83</v>
      </c>
      <c r="P22" s="20" t="s">
        <v>84</v>
      </c>
    </row>
    <row r="23" spans="1:16" ht="12.75" customHeight="1" thickBot="1" x14ac:dyDescent="0.25">
      <c r="A23" s="4" t="str">
        <f t="shared" si="0"/>
        <v> VSS 1.284 </v>
      </c>
      <c r="B23" s="2" t="str">
        <f t="shared" si="1"/>
        <v>I</v>
      </c>
      <c r="C23" s="4">
        <f t="shared" si="2"/>
        <v>28717.45</v>
      </c>
      <c r="D23" s="8" t="str">
        <f t="shared" si="3"/>
        <v>vis</v>
      </c>
      <c r="E23" s="17">
        <f>VLOOKUP(C23,Active!C$21:E$973,3,FALSE)</f>
        <v>142.00172961650762</v>
      </c>
      <c r="F23" s="2" t="s">
        <v>53</v>
      </c>
      <c r="G23" s="8" t="str">
        <f t="shared" si="4"/>
        <v>28717.45</v>
      </c>
      <c r="H23" s="4">
        <f t="shared" si="5"/>
        <v>142</v>
      </c>
      <c r="I23" s="18" t="s">
        <v>94</v>
      </c>
      <c r="J23" s="19" t="s">
        <v>95</v>
      </c>
      <c r="K23" s="18">
        <v>142</v>
      </c>
      <c r="L23" s="18" t="s">
        <v>96</v>
      </c>
      <c r="M23" s="19" t="s">
        <v>59</v>
      </c>
      <c r="N23" s="19"/>
      <c r="O23" s="20" t="s">
        <v>83</v>
      </c>
      <c r="P23" s="20" t="s">
        <v>84</v>
      </c>
    </row>
    <row r="24" spans="1:16" ht="12.75" customHeight="1" thickBot="1" x14ac:dyDescent="0.25">
      <c r="A24" s="4" t="str">
        <f t="shared" si="0"/>
        <v> VSS 1.284 </v>
      </c>
      <c r="B24" s="2" t="str">
        <f t="shared" si="1"/>
        <v>I</v>
      </c>
      <c r="C24" s="4">
        <f t="shared" si="2"/>
        <v>29080.46</v>
      </c>
      <c r="D24" s="8" t="str">
        <f t="shared" si="3"/>
        <v>vis</v>
      </c>
      <c r="E24" s="17">
        <f>VLOOKUP(C24,Active!C$21:E$973,3,FALSE)</f>
        <v>215.94931431241906</v>
      </c>
      <c r="F24" s="2" t="s">
        <v>53</v>
      </c>
      <c r="G24" s="8" t="str">
        <f t="shared" si="4"/>
        <v>29080.46</v>
      </c>
      <c r="H24" s="4">
        <f t="shared" si="5"/>
        <v>216</v>
      </c>
      <c r="I24" s="18" t="s">
        <v>97</v>
      </c>
      <c r="J24" s="19" t="s">
        <v>98</v>
      </c>
      <c r="K24" s="18">
        <v>216</v>
      </c>
      <c r="L24" s="18" t="s">
        <v>99</v>
      </c>
      <c r="M24" s="19" t="s">
        <v>59</v>
      </c>
      <c r="N24" s="19"/>
      <c r="O24" s="20" t="s">
        <v>83</v>
      </c>
      <c r="P24" s="20" t="s">
        <v>84</v>
      </c>
    </row>
    <row r="25" spans="1:16" ht="12.75" customHeight="1" thickBot="1" x14ac:dyDescent="0.25">
      <c r="A25" s="4" t="str">
        <f t="shared" si="0"/>
        <v> VSS 1.284 </v>
      </c>
      <c r="B25" s="2" t="str">
        <f t="shared" si="1"/>
        <v>I</v>
      </c>
      <c r="C25" s="4">
        <f t="shared" si="2"/>
        <v>29159.33</v>
      </c>
      <c r="D25" s="8" t="str">
        <f t="shared" si="3"/>
        <v>vis</v>
      </c>
      <c r="E25" s="17">
        <f>VLOOKUP(C25,Active!C$21:E$973,3,FALSE)</f>
        <v>232.01566511533565</v>
      </c>
      <c r="F25" s="2" t="s">
        <v>53</v>
      </c>
      <c r="G25" s="8" t="str">
        <f t="shared" si="4"/>
        <v>29159.33</v>
      </c>
      <c r="H25" s="4">
        <f t="shared" si="5"/>
        <v>232</v>
      </c>
      <c r="I25" s="18" t="s">
        <v>100</v>
      </c>
      <c r="J25" s="19" t="s">
        <v>101</v>
      </c>
      <c r="K25" s="18">
        <v>232</v>
      </c>
      <c r="L25" s="18" t="s">
        <v>102</v>
      </c>
      <c r="M25" s="19" t="s">
        <v>59</v>
      </c>
      <c r="N25" s="19"/>
      <c r="O25" s="20" t="s">
        <v>83</v>
      </c>
      <c r="P25" s="20" t="s">
        <v>84</v>
      </c>
    </row>
    <row r="26" spans="1:16" ht="12.75" customHeight="1" thickBot="1" x14ac:dyDescent="0.25">
      <c r="A26" s="4" t="str">
        <f t="shared" si="0"/>
        <v> VSS 1.284 </v>
      </c>
      <c r="B26" s="2" t="str">
        <f t="shared" si="1"/>
        <v>I</v>
      </c>
      <c r="C26" s="4">
        <f t="shared" si="2"/>
        <v>29193.35</v>
      </c>
      <c r="D26" s="8" t="str">
        <f t="shared" si="3"/>
        <v>vis</v>
      </c>
      <c r="E26" s="17">
        <f>VLOOKUP(C26,Active!C$21:E$973,3,FALSE)</f>
        <v>238.94576850464912</v>
      </c>
      <c r="F26" s="2" t="s">
        <v>53</v>
      </c>
      <c r="G26" s="8" t="str">
        <f t="shared" si="4"/>
        <v>29193.35</v>
      </c>
      <c r="H26" s="4">
        <f t="shared" si="5"/>
        <v>239</v>
      </c>
      <c r="I26" s="18" t="s">
        <v>103</v>
      </c>
      <c r="J26" s="19" t="s">
        <v>104</v>
      </c>
      <c r="K26" s="18">
        <v>239</v>
      </c>
      <c r="L26" s="18" t="s">
        <v>105</v>
      </c>
      <c r="M26" s="19" t="s">
        <v>59</v>
      </c>
      <c r="N26" s="19"/>
      <c r="O26" s="20" t="s">
        <v>83</v>
      </c>
      <c r="P26" s="20" t="s">
        <v>84</v>
      </c>
    </row>
    <row r="27" spans="1:16" ht="12.75" customHeight="1" thickBot="1" x14ac:dyDescent="0.25">
      <c r="A27" s="4" t="str">
        <f t="shared" si="0"/>
        <v> VSS 1.284 </v>
      </c>
      <c r="B27" s="2" t="str">
        <f t="shared" si="1"/>
        <v>I</v>
      </c>
      <c r="C27" s="4">
        <f t="shared" si="2"/>
        <v>29851.41</v>
      </c>
      <c r="D27" s="8" t="str">
        <f t="shared" si="3"/>
        <v>vis</v>
      </c>
      <c r="E27" s="17">
        <f>VLOOKUP(C27,Active!C$21:E$973,3,FALSE)</f>
        <v>372.99702765726693</v>
      </c>
      <c r="F27" s="2" t="s">
        <v>53</v>
      </c>
      <c r="G27" s="8" t="str">
        <f t="shared" si="4"/>
        <v>29851.41</v>
      </c>
      <c r="H27" s="4">
        <f t="shared" si="5"/>
        <v>373</v>
      </c>
      <c r="I27" s="18" t="s">
        <v>106</v>
      </c>
      <c r="J27" s="19" t="s">
        <v>107</v>
      </c>
      <c r="K27" s="18">
        <v>373</v>
      </c>
      <c r="L27" s="18" t="s">
        <v>96</v>
      </c>
      <c r="M27" s="19" t="s">
        <v>59</v>
      </c>
      <c r="N27" s="19"/>
      <c r="O27" s="20" t="s">
        <v>83</v>
      </c>
      <c r="P27" s="20" t="s">
        <v>84</v>
      </c>
    </row>
    <row r="28" spans="1:16" ht="12.75" customHeight="1" thickBot="1" x14ac:dyDescent="0.25">
      <c r="A28" s="4" t="str">
        <f t="shared" si="0"/>
        <v> TAOT 58.50 </v>
      </c>
      <c r="B28" s="2" t="str">
        <f t="shared" si="1"/>
        <v>I</v>
      </c>
      <c r="C28" s="4">
        <f t="shared" si="2"/>
        <v>34799.576999999997</v>
      </c>
      <c r="D28" s="8" t="str">
        <f t="shared" si="3"/>
        <v>vis</v>
      </c>
      <c r="E28" s="17">
        <f>VLOOKUP(C28,Active!C$21:E$973,3,FALSE)</f>
        <v>1380.9720099498084</v>
      </c>
      <c r="F28" s="2" t="s">
        <v>53</v>
      </c>
      <c r="G28" s="8" t="str">
        <f t="shared" si="4"/>
        <v>34799.577</v>
      </c>
      <c r="H28" s="4">
        <f t="shared" si="5"/>
        <v>1381</v>
      </c>
      <c r="I28" s="18" t="s">
        <v>108</v>
      </c>
      <c r="J28" s="19" t="s">
        <v>109</v>
      </c>
      <c r="K28" s="18">
        <v>1381</v>
      </c>
      <c r="L28" s="18" t="s">
        <v>110</v>
      </c>
      <c r="M28" s="19" t="s">
        <v>55</v>
      </c>
      <c r="N28" s="19"/>
      <c r="O28" s="20" t="s">
        <v>111</v>
      </c>
      <c r="P28" s="20" t="s">
        <v>112</v>
      </c>
    </row>
    <row r="29" spans="1:16" ht="12.75" customHeight="1" thickBot="1" x14ac:dyDescent="0.25">
      <c r="A29" s="4" t="str">
        <f t="shared" si="0"/>
        <v> TAOT 58.50 </v>
      </c>
      <c r="B29" s="2" t="str">
        <f t="shared" si="1"/>
        <v>I</v>
      </c>
      <c r="C29" s="4">
        <f t="shared" si="2"/>
        <v>36090.622000000003</v>
      </c>
      <c r="D29" s="8" t="str">
        <f t="shared" si="3"/>
        <v>vis</v>
      </c>
      <c r="E29" s="17">
        <f>VLOOKUP(C29,Active!C$21:E$973,3,FALSE)</f>
        <v>1643.9665816798813</v>
      </c>
      <c r="F29" s="2" t="s">
        <v>53</v>
      </c>
      <c r="G29" s="8" t="str">
        <f t="shared" si="4"/>
        <v>36090.622</v>
      </c>
      <c r="H29" s="4">
        <f t="shared" si="5"/>
        <v>1644</v>
      </c>
      <c r="I29" s="18" t="s">
        <v>113</v>
      </c>
      <c r="J29" s="19" t="s">
        <v>114</v>
      </c>
      <c r="K29" s="18">
        <v>1644</v>
      </c>
      <c r="L29" s="18" t="s">
        <v>115</v>
      </c>
      <c r="M29" s="19" t="s">
        <v>55</v>
      </c>
      <c r="N29" s="19"/>
      <c r="O29" s="20" t="s">
        <v>111</v>
      </c>
      <c r="P29" s="20" t="s">
        <v>112</v>
      </c>
    </row>
    <row r="30" spans="1:16" ht="12.75" customHeight="1" thickBot="1" x14ac:dyDescent="0.25">
      <c r="A30" s="4" t="str">
        <f t="shared" si="0"/>
        <v> VSSC 68.34 </v>
      </c>
      <c r="B30" s="2" t="str">
        <f t="shared" si="1"/>
        <v>I</v>
      </c>
      <c r="C30" s="4">
        <f t="shared" si="2"/>
        <v>46649.464999999997</v>
      </c>
      <c r="D30" s="8" t="str">
        <f t="shared" si="3"/>
        <v>vis</v>
      </c>
      <c r="E30" s="17">
        <f>VLOOKUP(C30,Active!C$21:E$973,3,FALSE)</f>
        <v>3794.8740967162016</v>
      </c>
      <c r="F30" s="2" t="s">
        <v>53</v>
      </c>
      <c r="G30" s="8" t="str">
        <f t="shared" si="4"/>
        <v>46649.465</v>
      </c>
      <c r="H30" s="4">
        <f t="shared" si="5"/>
        <v>3795</v>
      </c>
      <c r="I30" s="18" t="s">
        <v>116</v>
      </c>
      <c r="J30" s="19" t="s">
        <v>117</v>
      </c>
      <c r="K30" s="18">
        <v>3795</v>
      </c>
      <c r="L30" s="18" t="s">
        <v>118</v>
      </c>
      <c r="M30" s="19" t="s">
        <v>119</v>
      </c>
      <c r="N30" s="19"/>
      <c r="O30" s="20" t="s">
        <v>120</v>
      </c>
      <c r="P30" s="20" t="s">
        <v>121</v>
      </c>
    </row>
    <row r="31" spans="1:16" ht="12.75" customHeight="1" thickBot="1" x14ac:dyDescent="0.25">
      <c r="A31" s="4" t="str">
        <f t="shared" si="0"/>
        <v>BAVM 225 </v>
      </c>
      <c r="B31" s="2" t="str">
        <f t="shared" si="1"/>
        <v>I</v>
      </c>
      <c r="C31" s="4">
        <f t="shared" si="2"/>
        <v>55790.705499999996</v>
      </c>
      <c r="D31" s="8" t="str">
        <f t="shared" si="3"/>
        <v>vis</v>
      </c>
      <c r="E31" s="17">
        <f>VLOOKUP(C31,Active!C$21:E$973,3,FALSE)</f>
        <v>5657.0064239232997</v>
      </c>
      <c r="F31" s="2" t="s">
        <v>53</v>
      </c>
      <c r="G31" s="8" t="str">
        <f t="shared" si="4"/>
        <v>55790.7055</v>
      </c>
      <c r="H31" s="4">
        <f t="shared" si="5"/>
        <v>5657</v>
      </c>
      <c r="I31" s="18" t="s">
        <v>129</v>
      </c>
      <c r="J31" s="19" t="s">
        <v>130</v>
      </c>
      <c r="K31" s="18" t="s">
        <v>131</v>
      </c>
      <c r="L31" s="18" t="s">
        <v>132</v>
      </c>
      <c r="M31" s="19" t="s">
        <v>125</v>
      </c>
      <c r="N31" s="19" t="s">
        <v>126</v>
      </c>
      <c r="O31" s="20" t="s">
        <v>133</v>
      </c>
      <c r="P31" s="21" t="s">
        <v>134</v>
      </c>
    </row>
    <row r="32" spans="1:16" ht="12.75" customHeight="1" thickBot="1" x14ac:dyDescent="0.25">
      <c r="A32" s="4" t="str">
        <f t="shared" si="0"/>
        <v>BAVM 225 </v>
      </c>
      <c r="B32" s="2" t="str">
        <f t="shared" si="1"/>
        <v>I</v>
      </c>
      <c r="C32" s="4">
        <f t="shared" si="2"/>
        <v>55805.4329</v>
      </c>
      <c r="D32" s="8" t="str">
        <f t="shared" si="3"/>
        <v>vis</v>
      </c>
      <c r="E32" s="17">
        <f>VLOOKUP(C32,Active!C$21:E$973,3,FALSE)</f>
        <v>5660.0064946068924</v>
      </c>
      <c r="F32" s="2" t="s">
        <v>53</v>
      </c>
      <c r="G32" s="8" t="str">
        <f t="shared" si="4"/>
        <v>55805.4329</v>
      </c>
      <c r="H32" s="4">
        <f t="shared" si="5"/>
        <v>5660</v>
      </c>
      <c r="I32" s="18" t="s">
        <v>135</v>
      </c>
      <c r="J32" s="19" t="s">
        <v>136</v>
      </c>
      <c r="K32" s="18" t="s">
        <v>137</v>
      </c>
      <c r="L32" s="18" t="s">
        <v>138</v>
      </c>
      <c r="M32" s="19" t="s">
        <v>125</v>
      </c>
      <c r="N32" s="19" t="s">
        <v>126</v>
      </c>
      <c r="O32" s="20" t="s">
        <v>133</v>
      </c>
      <c r="P32" s="21" t="s">
        <v>134</v>
      </c>
    </row>
    <row r="33" spans="2:6" x14ac:dyDescent="0.2">
      <c r="B33" s="2"/>
      <c r="E33" s="17"/>
      <c r="F33" s="2"/>
    </row>
    <row r="34" spans="2:6" x14ac:dyDescent="0.2">
      <c r="B34" s="2"/>
      <c r="E34" s="17"/>
      <c r="F34" s="2"/>
    </row>
    <row r="35" spans="2:6" x14ac:dyDescent="0.2">
      <c r="B35" s="2"/>
      <c r="E35" s="17"/>
      <c r="F35" s="2"/>
    </row>
    <row r="36" spans="2:6" x14ac:dyDescent="0.2">
      <c r="B36" s="2"/>
      <c r="E36" s="17"/>
      <c r="F36" s="2"/>
    </row>
    <row r="37" spans="2:6" x14ac:dyDescent="0.2">
      <c r="B37" s="2"/>
      <c r="E37" s="17"/>
      <c r="F37" s="2"/>
    </row>
    <row r="38" spans="2:6" x14ac:dyDescent="0.2">
      <c r="B38" s="2"/>
      <c r="E38" s="17"/>
      <c r="F38" s="2"/>
    </row>
    <row r="39" spans="2:6" x14ac:dyDescent="0.2">
      <c r="B39" s="2"/>
      <c r="E39" s="17"/>
      <c r="F39" s="2"/>
    </row>
    <row r="40" spans="2:6" x14ac:dyDescent="0.2">
      <c r="B40" s="2"/>
      <c r="E40" s="17"/>
      <c r="F40" s="2"/>
    </row>
    <row r="41" spans="2:6" x14ac:dyDescent="0.2">
      <c r="B41" s="2"/>
      <c r="E41" s="17"/>
      <c r="F41" s="2"/>
    </row>
    <row r="42" spans="2:6" x14ac:dyDescent="0.2">
      <c r="B42" s="2"/>
      <c r="E42" s="17"/>
      <c r="F42" s="2"/>
    </row>
    <row r="43" spans="2:6" x14ac:dyDescent="0.2">
      <c r="B43" s="2"/>
      <c r="E43" s="17"/>
      <c r="F43" s="2"/>
    </row>
    <row r="44" spans="2:6" x14ac:dyDescent="0.2">
      <c r="B44" s="2"/>
      <c r="E44" s="17"/>
      <c r="F44" s="2"/>
    </row>
    <row r="45" spans="2:6" x14ac:dyDescent="0.2">
      <c r="B45" s="2"/>
      <c r="E45" s="17"/>
      <c r="F45" s="2"/>
    </row>
    <row r="46" spans="2:6" x14ac:dyDescent="0.2">
      <c r="B46" s="2"/>
      <c r="E46" s="17"/>
      <c r="F46" s="2"/>
    </row>
    <row r="47" spans="2:6" x14ac:dyDescent="0.2">
      <c r="B47" s="2"/>
      <c r="E47" s="17"/>
      <c r="F47" s="2"/>
    </row>
    <row r="48" spans="2:6" x14ac:dyDescent="0.2">
      <c r="B48" s="2"/>
      <c r="E48" s="17"/>
      <c r="F48" s="2"/>
    </row>
    <row r="49" spans="2:6" x14ac:dyDescent="0.2">
      <c r="B49" s="2"/>
      <c r="E49" s="17"/>
      <c r="F49" s="2"/>
    </row>
    <row r="50" spans="2:6" x14ac:dyDescent="0.2">
      <c r="B50" s="2"/>
      <c r="E50" s="17"/>
      <c r="F50" s="2"/>
    </row>
    <row r="51" spans="2:6" x14ac:dyDescent="0.2">
      <c r="B51" s="2"/>
      <c r="E51" s="17"/>
      <c r="F51" s="2"/>
    </row>
    <row r="52" spans="2:6" x14ac:dyDescent="0.2">
      <c r="B52" s="2"/>
      <c r="E52" s="17"/>
      <c r="F52" s="2"/>
    </row>
    <row r="53" spans="2:6" x14ac:dyDescent="0.2">
      <c r="B53" s="2"/>
      <c r="E53" s="17"/>
      <c r="F53" s="2"/>
    </row>
    <row r="54" spans="2:6" x14ac:dyDescent="0.2">
      <c r="B54" s="2"/>
      <c r="E54" s="17"/>
      <c r="F54" s="2"/>
    </row>
    <row r="55" spans="2:6" x14ac:dyDescent="0.2">
      <c r="B55" s="2"/>
      <c r="E55" s="17"/>
      <c r="F55" s="2"/>
    </row>
    <row r="56" spans="2:6" x14ac:dyDescent="0.2">
      <c r="B56" s="2"/>
      <c r="E56" s="17"/>
      <c r="F56" s="2"/>
    </row>
    <row r="57" spans="2:6" x14ac:dyDescent="0.2">
      <c r="B57" s="2"/>
      <c r="E57" s="17"/>
      <c r="F57" s="2"/>
    </row>
    <row r="58" spans="2:6" x14ac:dyDescent="0.2">
      <c r="B58" s="2"/>
      <c r="E58" s="17"/>
      <c r="F58" s="2"/>
    </row>
    <row r="59" spans="2:6" x14ac:dyDescent="0.2">
      <c r="B59" s="2"/>
      <c r="E59" s="17"/>
      <c r="F59" s="2"/>
    </row>
    <row r="60" spans="2:6" x14ac:dyDescent="0.2">
      <c r="B60" s="2"/>
      <c r="E60" s="17"/>
      <c r="F60" s="2"/>
    </row>
    <row r="61" spans="2:6" x14ac:dyDescent="0.2">
      <c r="B61" s="2"/>
      <c r="E61" s="17"/>
      <c r="F61" s="2"/>
    </row>
    <row r="62" spans="2:6" x14ac:dyDescent="0.2">
      <c r="B62" s="2"/>
      <c r="E62" s="17"/>
      <c r="F62" s="2"/>
    </row>
    <row r="63" spans="2:6" x14ac:dyDescent="0.2">
      <c r="B63" s="2"/>
      <c r="E63" s="17"/>
      <c r="F63" s="2"/>
    </row>
    <row r="64" spans="2:6" x14ac:dyDescent="0.2">
      <c r="B64" s="2"/>
      <c r="E64" s="17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  <row r="835" spans="2:6" x14ac:dyDescent="0.2">
      <c r="B835" s="2"/>
      <c r="F835" s="2"/>
    </row>
    <row r="836" spans="2:6" x14ac:dyDescent="0.2">
      <c r="B836" s="2"/>
      <c r="F836" s="2"/>
    </row>
    <row r="837" spans="2:6" x14ac:dyDescent="0.2">
      <c r="B837" s="2"/>
      <c r="F837" s="2"/>
    </row>
    <row r="838" spans="2:6" x14ac:dyDescent="0.2">
      <c r="B838" s="2"/>
      <c r="F838" s="2"/>
    </row>
    <row r="839" spans="2:6" x14ac:dyDescent="0.2">
      <c r="B839" s="2"/>
      <c r="F839" s="2"/>
    </row>
    <row r="840" spans="2:6" x14ac:dyDescent="0.2">
      <c r="B840" s="2"/>
      <c r="F840" s="2"/>
    </row>
    <row r="841" spans="2:6" x14ac:dyDescent="0.2">
      <c r="B841" s="2"/>
      <c r="F841" s="2"/>
    </row>
    <row r="842" spans="2:6" x14ac:dyDescent="0.2">
      <c r="B842" s="2"/>
      <c r="F842" s="2"/>
    </row>
    <row r="843" spans="2:6" x14ac:dyDescent="0.2">
      <c r="B843" s="2"/>
      <c r="F843" s="2"/>
    </row>
    <row r="844" spans="2:6" x14ac:dyDescent="0.2">
      <c r="B844" s="2"/>
      <c r="F844" s="2"/>
    </row>
    <row r="845" spans="2:6" x14ac:dyDescent="0.2">
      <c r="B845" s="2"/>
      <c r="F845" s="2"/>
    </row>
    <row r="846" spans="2:6" x14ac:dyDescent="0.2">
      <c r="B846" s="2"/>
      <c r="F846" s="2"/>
    </row>
    <row r="847" spans="2:6" x14ac:dyDescent="0.2">
      <c r="B847" s="2"/>
      <c r="F847" s="2"/>
    </row>
    <row r="848" spans="2:6" x14ac:dyDescent="0.2">
      <c r="B848" s="2"/>
      <c r="F848" s="2"/>
    </row>
    <row r="849" spans="2:6" x14ac:dyDescent="0.2">
      <c r="B849" s="2"/>
      <c r="F849" s="2"/>
    </row>
    <row r="850" spans="2:6" x14ac:dyDescent="0.2">
      <c r="B850" s="2"/>
      <c r="F850" s="2"/>
    </row>
    <row r="851" spans="2:6" x14ac:dyDescent="0.2">
      <c r="B851" s="2"/>
      <c r="F851" s="2"/>
    </row>
    <row r="852" spans="2:6" x14ac:dyDescent="0.2">
      <c r="B852" s="2"/>
      <c r="F852" s="2"/>
    </row>
  </sheetData>
  <phoneticPr fontId="7" type="noConversion"/>
  <hyperlinks>
    <hyperlink ref="P11" r:id="rId1" display="http://www.bav-astro.de/sfs/BAVM_link.php?BAVMnr=183"/>
    <hyperlink ref="P31" r:id="rId2" display="http://www.bav-astro.de/sfs/BAVM_link.php?BAVMnr=225"/>
    <hyperlink ref="P32" r:id="rId3" display="http://www.bav-astro.de/sfs/BAVM_link.php?BAVMnr=225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2024-03-06T06:14:30Z</dcterms:modified>
</cp:coreProperties>
</file>