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2C6D812-FA56-4D16-8AB3-375B8FF18E2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3" i="1" l="1"/>
  <c r="S23" i="1" s="1"/>
  <c r="O21" i="1"/>
  <c r="S21" i="1" s="1"/>
  <c r="O25" i="1"/>
  <c r="S25" i="1" s="1"/>
  <c r="O24" i="1"/>
  <c r="S24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<sst xmlns="http://schemas.openxmlformats.org/spreadsheetml/2006/main" count="62" uniqueCount="52">
  <si>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</si>
  <si>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</si>
  <si>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</si>
  <si>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</si>
  <si>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</si>
  <si>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</si>
  <si>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</si>
  <si>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</si>
  <si>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</si>
  <si>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</si>
  <si>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</si>
  <si>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</si>
  <si>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</si>
  <si>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</si>
  <si>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</si>
  <si>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</si>
  <si>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</si>
  <si>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</si>
  <si>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</si>
  <si>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</si>
  <si>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</si>
  <si>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</si>
  <si>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</si>
  <si>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</si>
  <si>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</si>
  <si>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</si>
  <si>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</si>
  <si>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</si>
  <si>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</si>
  <si>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</si>
  <si>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</si>
  <si>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</si>
  <si>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</si>
  <si>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</si>
  <si>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</si>
  <si>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</si>
  <si>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</si>
  <si>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</si>
  <si>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</si>
  <si>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</si>
  <si>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</si>
  <si>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</si>
  <si>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V0849 Sgr</t>
  </si>
  <si>
    <t>V0849 Sgr / GSC 7409-2073</t>
  </si>
  <si>
    <t>Sgr_V0849.xls</t>
  </si>
  <si>
    <t>EA</t>
  </si>
  <si>
    <t>Sgr</t>
  </si>
  <si>
    <t>G7409-2073</t>
  </si>
  <si>
    <t>Malkov</t>
  </si>
  <si>
    <t>VSS_2013-01-28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</si>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</sst>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V0849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10008</c:v>
                </c:pt>
                <c:pt idx="2">
                  <c:v>10109</c:v>
                </c:pt>
                <c:pt idx="3">
                  <c:v>10227</c:v>
                </c:pt>
                <c:pt idx="4">
                  <c:v>10249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B7-45DA-81C9-320A6D6E48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10008</c:v>
                </c:pt>
                <c:pt idx="2">
                  <c:v>10109</c:v>
                </c:pt>
                <c:pt idx="3">
                  <c:v>10227</c:v>
                </c:pt>
                <c:pt idx="4">
                  <c:v>10249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0.14515999999275664</c:v>
                </c:pt>
                <c:pt idx="2">
                  <c:v>0.15200999999069609</c:v>
                </c:pt>
                <c:pt idx="3">
                  <c:v>0.15782999999646563</c:v>
                </c:pt>
                <c:pt idx="4">
                  <c:v>0.15800999999919441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B7-45DA-81C9-320A6D6E48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10008</c:v>
                </c:pt>
                <c:pt idx="2">
                  <c:v>10109</c:v>
                </c:pt>
                <c:pt idx="3">
                  <c:v>10227</c:v>
                </c:pt>
                <c:pt idx="4">
                  <c:v>10249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B7-45DA-81C9-320A6D6E48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10008</c:v>
                </c:pt>
                <c:pt idx="2">
                  <c:v>10109</c:v>
                </c:pt>
                <c:pt idx="3">
                  <c:v>10227</c:v>
                </c:pt>
                <c:pt idx="4">
                  <c:v>10249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B7-45DA-81C9-320A6D6E48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10008</c:v>
                </c:pt>
                <c:pt idx="2">
                  <c:v>10109</c:v>
                </c:pt>
                <c:pt idx="3">
                  <c:v>10227</c:v>
                </c:pt>
                <c:pt idx="4">
                  <c:v>10249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B7-45DA-81C9-320A6D6E48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10008</c:v>
                </c:pt>
                <c:pt idx="2">
                  <c:v>10109</c:v>
                </c:pt>
                <c:pt idx="3">
                  <c:v>10227</c:v>
                </c:pt>
                <c:pt idx="4">
                  <c:v>10249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B7-45DA-81C9-320A6D6E48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5.9000000000000003E-4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10008</c:v>
                </c:pt>
                <c:pt idx="2">
                  <c:v>10109</c:v>
                </c:pt>
                <c:pt idx="3">
                  <c:v>10227</c:v>
                </c:pt>
                <c:pt idx="4">
                  <c:v>10249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B7-45DA-81C9-320A6D6E48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10008</c:v>
                </c:pt>
                <c:pt idx="2">
                  <c:v>10109</c:v>
                </c:pt>
                <c:pt idx="3">
                  <c:v>10227</c:v>
                </c:pt>
                <c:pt idx="4">
                  <c:v>10249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-0.39344241570607164</c:v>
                </c:pt>
                <c:pt idx="1">
                  <c:v>0.1456971124228279</c:v>
                </c:pt>
                <c:pt idx="2">
                  <c:v>0.15113806889175463</c:v>
                </c:pt>
                <c:pt idx="3">
                  <c:v>0.15749482991485719</c:v>
                </c:pt>
                <c:pt idx="4">
                  <c:v>0.15867998874967293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B7-45DA-81C9-320A6D6E48B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10008</c:v>
                </c:pt>
                <c:pt idx="2">
                  <c:v>10109</c:v>
                </c:pt>
                <c:pt idx="3">
                  <c:v>10227</c:v>
                </c:pt>
                <c:pt idx="4">
                  <c:v>10249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B7-45DA-81C9-320A6D6E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131208"/>
        <c:axId val="1"/>
      </c:scatterChart>
      <c:valAx>
        <c:axId val="775131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131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2C7258-8D8D-3EF3-B8B0-D4E017906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4" t="s">
        <v>43</v>
      </c>
      <c r="E1" s="2" t="s">
        <v>44</v>
      </c>
    </row>
    <row r="2" spans="1:7" s="2" customFormat="1" ht="12.95" customHeight="1" x14ac:dyDescent="0.2">
      <c r="A2" s="2" t="s">
        <v>24</v>
      </c>
      <c r="B2" s="2" t="s">
        <v>45</v>
      </c>
      <c r="C2" s="3" t="s">
        <v>41</v>
      </c>
      <c r="D2" s="4" t="s">
        <v>46</v>
      </c>
      <c r="E2" s="5" t="s">
        <v>42</v>
      </c>
      <c r="F2" s="2" t="s">
        <v>47</v>
      </c>
    </row>
    <row r="3" spans="1:7" s="2" customFormat="1" ht="12.95" customHeight="1" thickBot="1" x14ac:dyDescent="0.25">
      <c r="E3" s="2" t="s">
        <v>47</v>
      </c>
    </row>
    <row r="4" spans="1:7" s="2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2" customFormat="1" ht="12.95" customHeight="1" x14ac:dyDescent="0.2"/>
    <row r="6" spans="1:7" s="2" customFormat="1" ht="12.95" customHeight="1" x14ac:dyDescent="0.2">
      <c r="A6" s="6" t="s">
        <v>1</v>
      </c>
    </row>
    <row r="7" spans="1:7" s="2" customFormat="1" ht="12.95" customHeight="1" x14ac:dyDescent="0.2">
      <c r="A7" s="2" t="s">
        <v>2</v>
      </c>
      <c r="C7" s="35">
        <v>26289.11</v>
      </c>
      <c r="D7" s="10" t="s">
        <v>48</v>
      </c>
    </row>
    <row r="8" spans="1:7" s="2" customFormat="1" ht="12.95" customHeight="1" x14ac:dyDescent="0.2">
      <c r="A8" s="2" t="s">
        <v>3</v>
      </c>
      <c r="C8" s="35">
        <v>2.9506100000000002</v>
      </c>
      <c r="D8" s="10" t="s">
        <v>48</v>
      </c>
    </row>
    <row r="9" spans="1:7" s="2" customFormat="1" ht="12.95" customHeight="1" x14ac:dyDescent="0.2">
      <c r="A9" s="11" t="s">
        <v>30</v>
      </c>
      <c r="C9" s="12">
        <v>-9.5</v>
      </c>
      <c r="D9" s="2" t="s">
        <v>31</v>
      </c>
    </row>
    <row r="10" spans="1:7" s="2" customFormat="1" ht="12.95" customHeight="1" thickBot="1" x14ac:dyDescent="0.25">
      <c r="C10" s="13" t="s">
        <v>20</v>
      </c>
      <c r="D10" s="13" t="s">
        <v>21</v>
      </c>
    </row>
    <row r="11" spans="1:7" s="2" customFormat="1" ht="12.95" customHeight="1" x14ac:dyDescent="0.2">
      <c r="A11" s="2" t="s">
        <v>15</v>
      </c>
      <c r="C11" s="14">
        <f ca="1">INTERCEPT(INDIRECT($G$11):G992,INDIRECT($F$11):F992)</f>
        <v>-0.39344241570607164</v>
      </c>
      <c r="D11" s="4"/>
      <c r="F11" s="15" t="str">
        <f>"F"&amp;E19</f>
        <v>F22</v>
      </c>
      <c r="G11" s="14" t="str">
        <f>"G"&amp;E19</f>
        <v>G22</v>
      </c>
    </row>
    <row r="12" spans="1:7" s="2" customFormat="1" ht="12.95" customHeight="1" x14ac:dyDescent="0.2">
      <c r="A12" s="2" t="s">
        <v>16</v>
      </c>
      <c r="C12" s="14">
        <f ca="1">SLOPE(INDIRECT($G$11):G992,INDIRECT($F$11):F992)</f>
        <v>5.3870856127987565E-5</v>
      </c>
      <c r="D12" s="4"/>
    </row>
    <row r="13" spans="1:7" s="2" customFormat="1" ht="12.95" customHeight="1" x14ac:dyDescent="0.2">
      <c r="A13" s="2" t="s">
        <v>19</v>
      </c>
      <c r="C13" s="4" t="s">
        <v>13</v>
      </c>
      <c r="D13" s="16" t="s">
        <v>37</v>
      </c>
      <c r="E13" s="12">
        <v>1</v>
      </c>
    </row>
    <row r="14" spans="1:7" s="2" customFormat="1" ht="12.95" customHeight="1" x14ac:dyDescent="0.2">
      <c r="D14" s="16" t="s">
        <v>32</v>
      </c>
      <c r="E14" s="17">
        <f ca="1">NOW()+15018.5+$C$9/24</f>
        <v>60376.668048032407</v>
      </c>
    </row>
    <row r="15" spans="1:7" s="2" customFormat="1" ht="12.95" customHeight="1" x14ac:dyDescent="0.2">
      <c r="A15" s="18" t="s">
        <v>17</v>
      </c>
      <c r="C15" s="19">
        <f ca="1">(C7+C11)+(C8+C12)*INT(MAX(F21:F3533))</f>
        <v>56530.070569988748</v>
      </c>
      <c r="D15" s="16" t="s">
        <v>38</v>
      </c>
      <c r="E15" s="17">
        <f ca="1">ROUND(2*(E14-$C$7)/$C$8,0)/2+E13</f>
        <v>11553.5</v>
      </c>
    </row>
    <row r="16" spans="1:7" s="2" customFormat="1" ht="12.95" customHeight="1" x14ac:dyDescent="0.2">
      <c r="A16" s="6" t="s">
        <v>4</v>
      </c>
      <c r="C16" s="20">
        <f ca="1">+C8+C12</f>
        <v>2.9506638708561281</v>
      </c>
      <c r="D16" s="16" t="s">
        <v>39</v>
      </c>
      <c r="E16" s="14">
        <f ca="1">ROUND(2*(E14-$C$15)/$C$16,0)/2+E13</f>
        <v>1304.5</v>
      </c>
    </row>
    <row r="17" spans="1:19" s="2" customFormat="1" ht="12.95" customHeight="1" thickBot="1" x14ac:dyDescent="0.25">
      <c r="A17" s="16" t="s">
        <v>29</v>
      </c>
      <c r="C17" s="2">
        <f>COUNT(C21:C2191)</f>
        <v>5</v>
      </c>
      <c r="D17" s="16" t="s">
        <v>33</v>
      </c>
      <c r="E17" s="21">
        <f ca="1">+$C$15+$C$16*E16-15018.5-$C$9/24</f>
        <v>45361.1074228539</v>
      </c>
    </row>
    <row r="18" spans="1:19" s="2" customFormat="1" ht="12.95" customHeight="1" thickTop="1" thickBot="1" x14ac:dyDescent="0.25">
      <c r="A18" s="6" t="s">
        <v>5</v>
      </c>
      <c r="C18" s="22">
        <f ca="1">+C15</f>
        <v>56530.070569988748</v>
      </c>
      <c r="D18" s="23">
        <f ca="1">+C16</f>
        <v>2.9506638708561281</v>
      </c>
      <c r="E18" s="24" t="s">
        <v>34</v>
      </c>
    </row>
    <row r="19" spans="1:19" s="2" customFormat="1" ht="12.95" customHeight="1" thickTop="1" x14ac:dyDescent="0.2">
      <c r="A19" s="25" t="s">
        <v>35</v>
      </c>
      <c r="E19" s="26">
        <v>22</v>
      </c>
      <c r="S19" s="2">
        <f ca="1">SQRT(SUM(S21:S50)/(COUNT(S21:S50)-1))</f>
        <v>0.19672223085745957</v>
      </c>
    </row>
    <row r="20" spans="1:19" s="2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tr">
        <f>A21</f>
        <v>Malkov</v>
      </c>
      <c r="I20" s="27" t="s">
        <v>51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  <c r="R20" s="29" t="s">
        <v>36</v>
      </c>
    </row>
    <row r="21" spans="1:19" s="2" customFormat="1" ht="12.95" customHeight="1" x14ac:dyDescent="0.2">
      <c r="A21" s="2" t="str">
        <f>D7</f>
        <v>Malkov</v>
      </c>
      <c r="C21" s="9">
        <f>C$7</f>
        <v>26289.11</v>
      </c>
      <c r="D21" s="9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-0.39344241570607164</v>
      </c>
      <c r="Q21" s="30">
        <f>+C21-15018.5</f>
        <v>11270.61</v>
      </c>
      <c r="S21" s="2">
        <f ca="1">+(O21-G21)^2</f>
        <v>0.15479693447662929</v>
      </c>
    </row>
    <row r="22" spans="1:19" s="2" customFormat="1" ht="12.95" customHeight="1" x14ac:dyDescent="0.2">
      <c r="A22" s="31" t="s">
        <v>49</v>
      </c>
      <c r="B22" s="32" t="s">
        <v>50</v>
      </c>
      <c r="C22" s="33">
        <v>55818.960039999998</v>
      </c>
      <c r="D22" s="33">
        <v>5.9000000000000003E-4</v>
      </c>
      <c r="E22" s="2">
        <f>+(C22-C$7)/C$8</f>
        <v>10008.049196606802</v>
      </c>
      <c r="F22" s="2">
        <f>ROUND(2*E22,0)/2</f>
        <v>10008</v>
      </c>
      <c r="G22" s="2">
        <f>+C22-(C$7+F22*C$8)</f>
        <v>0.14515999999275664</v>
      </c>
      <c r="I22" s="2">
        <f>+G22</f>
        <v>0.14515999999275664</v>
      </c>
      <c r="O22" s="2">
        <f ca="1">+C$11+C$12*$F22</f>
        <v>0.1456971124228279</v>
      </c>
      <c r="Q22" s="30">
        <f>+C22-15018.5</f>
        <v>40800.460039999998</v>
      </c>
      <c r="S22" s="2">
        <f ca="1">+(O22-G22)^2</f>
        <v>2.88489762537057E-7</v>
      </c>
    </row>
    <row r="23" spans="1:19" s="2" customFormat="1" ht="12.95" customHeight="1" x14ac:dyDescent="0.2">
      <c r="A23" s="31" t="s">
        <v>49</v>
      </c>
      <c r="B23" s="32" t="s">
        <v>50</v>
      </c>
      <c r="C23" s="33">
        <v>56116.978499999997</v>
      </c>
      <c r="D23" s="33">
        <v>2.9999999999999997E-4</v>
      </c>
      <c r="E23" s="2">
        <f>+(C23-C$7)/C$8</f>
        <v>10109.05151816065</v>
      </c>
      <c r="F23" s="2">
        <f>ROUND(2*E23,0)/2</f>
        <v>10109</v>
      </c>
      <c r="G23" s="2">
        <f>+C23-(C$7+F23*C$8)</f>
        <v>0.15200999999069609</v>
      </c>
      <c r="I23" s="2">
        <f>+G23</f>
        <v>0.15200999999069609</v>
      </c>
      <c r="O23" s="2">
        <f ca="1">+C$11+C$12*$F23</f>
        <v>0.15113806889175463</v>
      </c>
      <c r="Q23" s="30">
        <f>+C23-15018.5</f>
        <v>41098.478499999997</v>
      </c>
      <c r="S23" s="2">
        <f ca="1">+(O23-G23)^2</f>
        <v>7.6026384130125962E-7</v>
      </c>
    </row>
    <row r="24" spans="1:19" s="2" customFormat="1" ht="12.95" customHeight="1" x14ac:dyDescent="0.2">
      <c r="A24" s="31" t="s">
        <v>49</v>
      </c>
      <c r="B24" s="32" t="s">
        <v>50</v>
      </c>
      <c r="C24" s="33">
        <v>56465.156300000002</v>
      </c>
      <c r="D24" s="33">
        <v>2.0000000000000001E-4</v>
      </c>
      <c r="E24" s="2">
        <f>+(C24-C$7)/C$8</f>
        <v>10227.05349063414</v>
      </c>
      <c r="F24" s="2">
        <f>ROUND(2*E24,0)/2</f>
        <v>10227</v>
      </c>
      <c r="G24" s="2">
        <f>+C24-(C$7+F24*C$8)</f>
        <v>0.15782999999646563</v>
      </c>
      <c r="I24" s="2">
        <f>+G24</f>
        <v>0.15782999999646563</v>
      </c>
      <c r="O24" s="2">
        <f ca="1">+C$11+C$12*$F24</f>
        <v>0.15749482991485719</v>
      </c>
      <c r="Q24" s="30">
        <f>+C24-15018.5</f>
        <v>41446.656300000002</v>
      </c>
      <c r="S24" s="2">
        <f ca="1">+(O24-G24)^2</f>
        <v>1.1233898360540697E-7</v>
      </c>
    </row>
    <row r="25" spans="1:19" s="2" customFormat="1" ht="12.95" customHeight="1" x14ac:dyDescent="0.2">
      <c r="A25" s="31" t="s">
        <v>49</v>
      </c>
      <c r="B25" s="32" t="s">
        <v>50</v>
      </c>
      <c r="C25" s="33">
        <v>56530.069900000002</v>
      </c>
      <c r="D25" s="33">
        <v>4.0000000000000002E-4</v>
      </c>
      <c r="E25" s="2">
        <f>+(C25-C$7)/C$8</f>
        <v>10249.053551638475</v>
      </c>
      <c r="F25" s="2">
        <f>ROUND(2*E25,0)/2</f>
        <v>10249</v>
      </c>
      <c r="G25" s="2">
        <f>+C25-(C$7+F25*C$8)</f>
        <v>0.15800999999919441</v>
      </c>
      <c r="I25" s="2">
        <f>+G25</f>
        <v>0.15800999999919441</v>
      </c>
      <c r="O25" s="2">
        <f ca="1">+C$11+C$12*$F25</f>
        <v>0.15867998874967293</v>
      </c>
      <c r="Q25" s="30">
        <f>+C25-15018.5</f>
        <v>41511.569900000002</v>
      </c>
      <c r="S25" s="2">
        <f ca="1">+(O25-G25)^2</f>
        <v>4.4888492576777243E-7</v>
      </c>
    </row>
    <row r="26" spans="1:19" s="2" customFormat="1" ht="12.95" customHeight="1" x14ac:dyDescent="0.2">
      <c r="C26" s="9"/>
      <c r="D26" s="9"/>
      <c r="Q26" s="30"/>
    </row>
    <row r="27" spans="1:19" s="2" customFormat="1" ht="12.95" customHeight="1" x14ac:dyDescent="0.2">
      <c r="C27" s="9"/>
      <c r="D27" s="9"/>
      <c r="Q27" s="30"/>
    </row>
    <row r="28" spans="1:19" s="2" customFormat="1" ht="12.95" customHeight="1" x14ac:dyDescent="0.2">
      <c r="C28" s="9"/>
      <c r="D28" s="9"/>
      <c r="Q28" s="30"/>
    </row>
    <row r="29" spans="1:19" s="2" customFormat="1" ht="12.95" customHeight="1" x14ac:dyDescent="0.2">
      <c r="C29" s="9"/>
      <c r="D29" s="9"/>
      <c r="Q29" s="30"/>
    </row>
    <row r="30" spans="1:19" s="2" customFormat="1" ht="12.95" customHeight="1" x14ac:dyDescent="0.2">
      <c r="C30" s="9"/>
      <c r="D30" s="9"/>
      <c r="Q30" s="30"/>
    </row>
    <row r="31" spans="1:19" s="2" customFormat="1" ht="12.95" customHeight="1" x14ac:dyDescent="0.2">
      <c r="C31" s="9"/>
      <c r="D31" s="9"/>
      <c r="Q31" s="30"/>
    </row>
    <row r="32" spans="1:19" s="2" customFormat="1" ht="12.95" customHeight="1" x14ac:dyDescent="0.2">
      <c r="C32" s="9"/>
      <c r="D32" s="9"/>
      <c r="Q32" s="30"/>
    </row>
    <row r="33" spans="3:17" s="2" customFormat="1" ht="12.95" customHeight="1" x14ac:dyDescent="0.2">
      <c r="C33" s="9"/>
      <c r="D33" s="9"/>
      <c r="Q33" s="30"/>
    </row>
    <row r="34" spans="3:17" s="2" customFormat="1" ht="12.95" customHeight="1" x14ac:dyDescent="0.2">
      <c r="C34" s="9"/>
      <c r="D34" s="9"/>
    </row>
    <row r="35" spans="3:17" s="2" customFormat="1" ht="12.95" customHeight="1" x14ac:dyDescent="0.2">
      <c r="C35" s="9"/>
      <c r="D35" s="9"/>
    </row>
    <row r="36" spans="3:17" s="2" customFormat="1" ht="12.95" customHeight="1" x14ac:dyDescent="0.2">
      <c r="C36" s="9"/>
      <c r="D36" s="9"/>
    </row>
    <row r="37" spans="3:17" s="2" customFormat="1" ht="12.95" customHeight="1" x14ac:dyDescent="0.2">
      <c r="C37" s="9"/>
      <c r="D37" s="9"/>
    </row>
    <row r="38" spans="3:17" s="2" customFormat="1" ht="12.95" customHeight="1" x14ac:dyDescent="0.2">
      <c r="C38" s="9"/>
      <c r="D38" s="9"/>
    </row>
    <row r="39" spans="3:17" s="2" customFormat="1" ht="12.95" customHeight="1" x14ac:dyDescent="0.2">
      <c r="C39" s="9"/>
      <c r="D39" s="9"/>
    </row>
    <row r="40" spans="3:17" s="2" customFormat="1" ht="12.95" customHeight="1" x14ac:dyDescent="0.2">
      <c r="C40" s="9"/>
      <c r="D40" s="9"/>
    </row>
    <row r="41" spans="3:17" s="2" customFormat="1" ht="12.95" customHeight="1" x14ac:dyDescent="0.2">
      <c r="C41" s="9"/>
      <c r="D41" s="9"/>
    </row>
    <row r="42" spans="3:17" s="2" customFormat="1" ht="12.95" customHeight="1" x14ac:dyDescent="0.2">
      <c r="C42" s="9"/>
      <c r="D42" s="9"/>
    </row>
    <row r="43" spans="3:17" s="2" customFormat="1" ht="12.95" customHeight="1" x14ac:dyDescent="0.2">
      <c r="C43" s="9"/>
      <c r="D43" s="9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2024-03-07T03:01:59Z</dcterms:modified>
</cp:coreProperties>
</file>