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7637714-4DD1-4867-BA58-5DF7C3BFBB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2" i="1"/>
  <c r="F22" i="1"/>
  <c r="Q22" i="1"/>
  <c r="G11" i="1"/>
  <c r="F11" i="1"/>
  <c r="E14" i="1"/>
  <c r="E15" i="1" s="1"/>
  <c r="C17" i="1"/>
  <c r="C21" i="1"/>
  <c r="Q21" i="1"/>
  <c r="A21" i="1"/>
  <c r="C7" i="1"/>
  <c r="G22" i="1"/>
  <c r="J22" i="1"/>
  <c r="C8" i="1"/>
  <c r="E21" i="1"/>
  <c r="F21" i="1"/>
  <c r="G21" i="1"/>
  <c r="H21" i="1"/>
  <c r="C12" i="1"/>
  <c r="C16" i="1" l="1"/>
  <c r="D18" i="1" s="1"/>
  <c r="C11" i="1"/>
  <c r="O23" i="1" l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<sst xmlns="http://schemas.openxmlformats.org/spreadsheetml/2006/main" count="53" uniqueCount="50">
  <si>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</si>
  <si>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</si>
  <si>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</si>
  <si>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</si>
  <si>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</si>
  <si>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</si>
  <si>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</si>
  <si>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</si>
  <si>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</si>
  <si>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</si>
  <si>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</si>
  <si>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</si>
  <si>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</si>
  <si>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</si>
  <si>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</si>
  <si>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</si>
  <si>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</si>
  <si>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</si>
  <si>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</si>
  <si>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</si>
  <si>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</si>
  <si>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</si>
  <si>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</si>
  <si>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</si>
  <si>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</si>
  <si>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</si>
  <si>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</si>
  <si>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</si>
  <si>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</si>
  <si>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</si>
  <si>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</si>
  <si>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</si>
  <si>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</si>
  <si>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</si>
  <si>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</si>
  <si>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</si>
  <si>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Sgr</t>
  </si>
  <si>
    <t>EW:</t>
  </si>
  <si>
    <t>IBVS 5686 Eph.</t>
  </si>
  <si>
    <t>IBVS 5686</t>
  </si>
  <si>
    <t>G6842-1237_Sgr.xls</t>
  </si>
  <si>
    <t>V5563 Sgr / GSC 6842-1237</t>
  </si>
  <si>
    <t>Add cycle</t>
  </si>
  <si>
    <t>Old Cycle</t>
  </si>
  <si>
    <t>OEJV 0130</t>
  </si>
  <si>
    <t>I</t>
  </si>
  <si>
    <t>JBAV, 63</t>
  </si>
  <si>
    <t>II</t>
  </si>
  <si>
    <t>CCD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</si>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</sst>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V5563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41-4CE0-844D-C5B943713D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41-4CE0-844D-C5B943713D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-1.0225999998510815E-2</c:v>
                </c:pt>
                <c:pt idx="2">
                  <c:v>-3.9203999993333127E-2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41-4CE0-844D-C5B943713D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41-4CE0-844D-C5B943713D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41-4CE0-844D-C5B943713D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41-4CE0-844D-C5B943713D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41-4CE0-844D-C5B943713D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1.9929993024670502E-3</c:v>
                </c:pt>
                <c:pt idx="1">
                  <c:v>-1.3479489579252388E-2</c:v>
                </c:pt>
                <c:pt idx="2">
                  <c:v>-3.7943509715058596E-2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41-4CE0-844D-C5B94371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944"/>
        <c:axId val="1"/>
      </c:scatterChart>
      <c:valAx>
        <c:axId val="72850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F54D33-BF69-D6B7-F427-370D86755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5" customFormat="1" ht="20.25" x14ac:dyDescent="0.2">
      <c r="A1" s="37" t="s">
        <v>41</v>
      </c>
      <c r="E1" s="3"/>
      <c r="F1" s="5" t="s">
        <v>36</v>
      </c>
      <c r="G1" s="3" t="s">
        <v>37</v>
      </c>
      <c r="H1" s="6" t="s">
        <v>38</v>
      </c>
      <c r="I1" s="4">
        <v>52840.576999999997</v>
      </c>
      <c r="J1" s="4">
        <v>0.61726199999999998</v>
      </c>
      <c r="K1" s="7" t="s">
        <v>39</v>
      </c>
      <c r="L1" s="8" t="s">
        <v>40</v>
      </c>
    </row>
    <row r="2" spans="1:12" s="5" customFormat="1" ht="12.95" customHeight="1" x14ac:dyDescent="0.2">
      <c r="A2" s="5" t="s">
        <v>22</v>
      </c>
      <c r="B2" s="5" t="s">
        <v>37</v>
      </c>
      <c r="C2" s="11"/>
      <c r="D2" s="11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6" t="s">
        <v>38</v>
      </c>
      <c r="C4" s="12">
        <v>52840.576999999997</v>
      </c>
      <c r="D4" s="13">
        <v>0.61726199999999998</v>
      </c>
    </row>
    <row r="5" spans="1:12" s="5" customFormat="1" ht="12.95" customHeight="1" x14ac:dyDescent="0.2"/>
    <row r="6" spans="1:12" s="5" customFormat="1" ht="12.95" customHeight="1" x14ac:dyDescent="0.2">
      <c r="A6" s="14" t="s">
        <v>0</v>
      </c>
    </row>
    <row r="7" spans="1:12" s="5" customFormat="1" ht="12.95" customHeight="1" x14ac:dyDescent="0.2">
      <c r="A7" s="5" t="s">
        <v>1</v>
      </c>
      <c r="C7" s="5">
        <f>+C4</f>
        <v>52840.576999999997</v>
      </c>
    </row>
    <row r="8" spans="1:12" s="5" customFormat="1" ht="12.95" customHeight="1" x14ac:dyDescent="0.2">
      <c r="A8" s="5" t="s">
        <v>2</v>
      </c>
      <c r="C8" s="5">
        <f>+D4</f>
        <v>0.61726199999999998</v>
      </c>
    </row>
    <row r="9" spans="1:12" s="5" customFormat="1" ht="12.95" customHeight="1" x14ac:dyDescent="0.2">
      <c r="A9" s="6" t="s">
        <v>29</v>
      </c>
      <c r="C9" s="15">
        <v>-9.5</v>
      </c>
      <c r="D9" s="5" t="s">
        <v>30</v>
      </c>
    </row>
    <row r="10" spans="1:12" s="5" customFormat="1" ht="12.95" customHeight="1" thickBot="1" x14ac:dyDescent="0.25">
      <c r="C10" s="16" t="s">
        <v>18</v>
      </c>
      <c r="D10" s="16" t="s">
        <v>19</v>
      </c>
    </row>
    <row r="11" spans="1:12" s="5" customFormat="1" ht="12.95" customHeight="1" x14ac:dyDescent="0.2">
      <c r="A11" s="5" t="s">
        <v>14</v>
      </c>
      <c r="C11" s="17">
        <f ca="1">INTERCEPT(INDIRECT($G$11):G992,INDIRECT($F$11):F992)</f>
        <v>1.9929993024670502E-3</v>
      </c>
      <c r="D11" s="18"/>
      <c r="F11" s="19" t="str">
        <f>"F"&amp;E19</f>
        <v>F21</v>
      </c>
      <c r="G11" s="17" t="str">
        <f>"G"&amp;E19</f>
        <v>G21</v>
      </c>
    </row>
    <row r="12" spans="1:12" s="5" customFormat="1" ht="12.95" customHeight="1" x14ac:dyDescent="0.2">
      <c r="A12" s="5" t="s">
        <v>15</v>
      </c>
      <c r="C12" s="17">
        <f ca="1">SLOPE(INDIRECT($G$11):G992,INDIRECT($F$11):F992)</f>
        <v>-3.7527258990345472E-6</v>
      </c>
      <c r="D12" s="18"/>
    </row>
    <row r="13" spans="1:12" s="5" customFormat="1" ht="12.95" customHeight="1" x14ac:dyDescent="0.2">
      <c r="A13" s="5" t="s">
        <v>17</v>
      </c>
      <c r="C13" s="18" t="s">
        <v>12</v>
      </c>
      <c r="D13" s="20" t="s">
        <v>42</v>
      </c>
      <c r="E13" s="15">
        <v>1</v>
      </c>
    </row>
    <row r="14" spans="1:12" s="5" customFormat="1" ht="12.95" customHeight="1" x14ac:dyDescent="0.2">
      <c r="D14" s="20" t="s">
        <v>31</v>
      </c>
      <c r="E14" s="21">
        <f ca="1">NOW()+15018.5+$C$9/24</f>
        <v>60376.698886574071</v>
      </c>
    </row>
    <row r="15" spans="1:12" s="5" customFormat="1" ht="12.95" customHeight="1" x14ac:dyDescent="0.2">
      <c r="A15" s="22" t="s">
        <v>16</v>
      </c>
      <c r="C15" s="23">
        <f ca="1">(C7+C11)+(C8+C12)*INT(MAX(F21:F3533))</f>
        <v>59409.441260490275</v>
      </c>
      <c r="D15" s="20" t="s">
        <v>43</v>
      </c>
      <c r="E15" s="21">
        <f ca="1">ROUND(2*(E14-$C$7)/$C$8,0)/2+E13</f>
        <v>12210</v>
      </c>
    </row>
    <row r="16" spans="1:12" s="5" customFormat="1" ht="12.95" customHeight="1" x14ac:dyDescent="0.2">
      <c r="A16" s="14" t="s">
        <v>3</v>
      </c>
      <c r="C16" s="24">
        <f ca="1">+C8+C12</f>
        <v>0.61725824727410095</v>
      </c>
      <c r="D16" s="20" t="s">
        <v>32</v>
      </c>
      <c r="E16" s="17">
        <f ca="1">ROUND(2*(E14-$C$15)/$C$16,0)/2+E13</f>
        <v>1568</v>
      </c>
    </row>
    <row r="17" spans="1:17" s="5" customFormat="1" ht="12.95" customHeight="1" thickBot="1" x14ac:dyDescent="0.25">
      <c r="A17" s="20" t="s">
        <v>28</v>
      </c>
      <c r="C17" s="5">
        <f>COUNT(C21:C2191)</f>
        <v>3</v>
      </c>
      <c r="D17" s="20" t="s">
        <v>33</v>
      </c>
      <c r="E17" s="25">
        <f ca="1">+$C$15+$C$16*E16-15018.5-$C$9/24</f>
        <v>45359.198025549398</v>
      </c>
    </row>
    <row r="18" spans="1:17" s="5" customFormat="1" ht="12.95" customHeight="1" thickTop="1" thickBot="1" x14ac:dyDescent="0.25">
      <c r="A18" s="14" t="s">
        <v>4</v>
      </c>
      <c r="C18" s="26">
        <f ca="1">+C15</f>
        <v>59409.441260490275</v>
      </c>
      <c r="D18" s="27">
        <f ca="1">+C16</f>
        <v>0.61725824727410095</v>
      </c>
      <c r="E18" s="28" t="s">
        <v>34</v>
      </c>
    </row>
    <row r="19" spans="1:17" s="5" customFormat="1" ht="12.95" customHeight="1" thickTop="1" x14ac:dyDescent="0.2">
      <c r="A19" s="29" t="s">
        <v>35</v>
      </c>
      <c r="E19" s="30">
        <v>21</v>
      </c>
    </row>
    <row r="20" spans="1:17" s="5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27</v>
      </c>
      <c r="I20" s="31" t="s">
        <v>49</v>
      </c>
      <c r="J20" s="31" t="s">
        <v>48</v>
      </c>
      <c r="K20" s="31" t="s">
        <v>23</v>
      </c>
      <c r="L20" s="31" t="s">
        <v>24</v>
      </c>
      <c r="M20" s="31" t="s">
        <v>25</v>
      </c>
      <c r="N20" s="31" t="s">
        <v>26</v>
      </c>
      <c r="O20" s="31" t="s">
        <v>21</v>
      </c>
      <c r="P20" s="32" t="s">
        <v>20</v>
      </c>
      <c r="Q20" s="16" t="s">
        <v>13</v>
      </c>
    </row>
    <row r="21" spans="1:17" s="5" customFormat="1" ht="12.95" customHeight="1" x14ac:dyDescent="0.2">
      <c r="A21" s="5" t="str">
        <f>$K$1</f>
        <v>IBVS 5686</v>
      </c>
      <c r="C21" s="11">
        <f>+$C$4</f>
        <v>52840.576999999997</v>
      </c>
      <c r="D21" s="11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1.9929993024670502E-3</v>
      </c>
      <c r="Q21" s="33">
        <f>+C21-15018.5</f>
        <v>37822.076999999997</v>
      </c>
    </row>
    <row r="22" spans="1:17" s="5" customFormat="1" ht="12.95" customHeight="1" x14ac:dyDescent="0.2">
      <c r="A22" s="34" t="s">
        <v>44</v>
      </c>
      <c r="B22" s="35" t="s">
        <v>45</v>
      </c>
      <c r="C22" s="36">
        <v>55385.538</v>
      </c>
      <c r="D22" s="36">
        <v>3.0000000000000001E-3</v>
      </c>
      <c r="E22" s="5">
        <f>+(C22-C$7)/C$8</f>
        <v>4122.9834332908931</v>
      </c>
      <c r="F22" s="5">
        <f>ROUND(2*E22,0)/2</f>
        <v>4123</v>
      </c>
      <c r="G22" s="5">
        <f>+C22-(C$7+F22*C$8)</f>
        <v>-1.0225999998510815E-2</v>
      </c>
      <c r="J22" s="5">
        <f>+G22</f>
        <v>-1.0225999998510815E-2</v>
      </c>
      <c r="O22" s="5">
        <f ca="1">+C$11+C$12*$F22</f>
        <v>-1.3479489579252388E-2</v>
      </c>
      <c r="Q22" s="33">
        <f>+C22-15018.5</f>
        <v>40367.038</v>
      </c>
    </row>
    <row r="23" spans="1:17" s="5" customFormat="1" ht="12.95" customHeight="1" x14ac:dyDescent="0.2">
      <c r="A23" s="9" t="s">
        <v>46</v>
      </c>
      <c r="B23" s="10" t="s">
        <v>47</v>
      </c>
      <c r="C23" s="38">
        <v>59409.440000000002</v>
      </c>
      <c r="D23" s="39">
        <v>8.0000000000000002E-3</v>
      </c>
      <c r="E23" s="5">
        <f>+(C23-C$7)/C$8</f>
        <v>10641.936487261495</v>
      </c>
      <c r="F23" s="5">
        <f>ROUND(2*E23,0)/2</f>
        <v>10642</v>
      </c>
      <c r="G23" s="5">
        <f>+C23-(C$7+F23*C$8)</f>
        <v>-3.9203999993333127E-2</v>
      </c>
      <c r="J23" s="5">
        <f>+G23</f>
        <v>-3.9203999993333127E-2</v>
      </c>
      <c r="O23" s="5">
        <f ca="1">+C$11+C$12*$F23</f>
        <v>-3.7943509715058596E-2</v>
      </c>
      <c r="Q23" s="33">
        <f>+C23-15018.5</f>
        <v>44390.94</v>
      </c>
    </row>
    <row r="24" spans="1:17" s="5" customFormat="1" ht="12.95" customHeight="1" x14ac:dyDescent="0.2">
      <c r="C24" s="11"/>
      <c r="D24" s="11"/>
      <c r="Q24" s="33"/>
    </row>
    <row r="25" spans="1:17" s="5" customFormat="1" ht="12.95" customHeight="1" x14ac:dyDescent="0.2">
      <c r="C25" s="11"/>
      <c r="D25" s="11"/>
      <c r="Q25" s="33"/>
    </row>
    <row r="26" spans="1:17" s="5" customFormat="1" ht="12.95" customHeight="1" x14ac:dyDescent="0.2">
      <c r="C26" s="11"/>
      <c r="D26" s="11"/>
      <c r="Q26" s="33"/>
    </row>
    <row r="27" spans="1:17" s="5" customFormat="1" ht="12.95" customHeight="1" x14ac:dyDescent="0.2">
      <c r="C27" s="11"/>
      <c r="D27" s="11"/>
      <c r="Q27" s="33"/>
    </row>
    <row r="28" spans="1:17" x14ac:dyDescent="0.2">
      <c r="C28" s="2"/>
      <c r="D28" s="2"/>
      <c r="Q28" s="1"/>
    </row>
    <row r="29" spans="1:17" x14ac:dyDescent="0.2">
      <c r="C29" s="2"/>
      <c r="D29" s="2"/>
      <c r="Q29" s="1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2024-03-07T03:46:23Z</dcterms:modified>
</cp:coreProperties>
</file>