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A57282-E4C2-48BC-8B58-53BCD96A7C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4" i="1" l="1"/>
  <c r="F4" i="1"/>
  <c r="D11" i="1"/>
  <c r="T14" i="1" s="1"/>
  <c r="E1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8" i="1"/>
  <c r="Q60" i="1"/>
  <c r="Q62" i="1"/>
  <c r="G22" i="2"/>
  <c r="C22" i="2"/>
  <c r="G21" i="2"/>
  <c r="C21" i="2"/>
  <c r="G20" i="2"/>
  <c r="C20" i="2"/>
  <c r="G19" i="2"/>
  <c r="C19" i="2"/>
  <c r="G18" i="2"/>
  <c r="C18" i="2"/>
  <c r="G17" i="2"/>
  <c r="C17" i="2"/>
  <c r="G54" i="2"/>
  <c r="C54" i="2"/>
  <c r="G16" i="2"/>
  <c r="C16" i="2"/>
  <c r="G53" i="2"/>
  <c r="C53" i="2"/>
  <c r="G52" i="2"/>
  <c r="C52" i="2"/>
  <c r="G15" i="2"/>
  <c r="C15" i="2"/>
  <c r="G14" i="2"/>
  <c r="C14" i="2"/>
  <c r="G13" i="2"/>
  <c r="C13" i="2"/>
  <c r="G12" i="2"/>
  <c r="C12" i="2"/>
  <c r="G11" i="2"/>
  <c r="C11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54" i="2"/>
  <c r="B54" i="2"/>
  <c r="D54" i="2"/>
  <c r="A54" i="2"/>
  <c r="H16" i="2"/>
  <c r="B16" i="2"/>
  <c r="D16" i="2"/>
  <c r="A16" i="2"/>
  <c r="H53" i="2"/>
  <c r="B53" i="2"/>
  <c r="D53" i="2"/>
  <c r="A53" i="2"/>
  <c r="H52" i="2"/>
  <c r="B52" i="2"/>
  <c r="D52" i="2"/>
  <c r="A52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D12" i="1"/>
  <c r="P22" i="1" s="1"/>
  <c r="R22" i="1" s="1"/>
  <c r="Q67" i="1"/>
  <c r="Q68" i="1"/>
  <c r="Q69" i="1"/>
  <c r="Q66" i="1"/>
  <c r="Q51" i="1"/>
  <c r="Q64" i="1"/>
  <c r="Q65" i="1"/>
  <c r="T6" i="1"/>
  <c r="T8" i="1"/>
  <c r="T10" i="1"/>
  <c r="Q63" i="1"/>
  <c r="Q59" i="1"/>
  <c r="F17" i="1"/>
  <c r="C17" i="1"/>
  <c r="C7" i="1"/>
  <c r="E21" i="1"/>
  <c r="F21" i="1"/>
  <c r="C8" i="1"/>
  <c r="Q61" i="1"/>
  <c r="Q52" i="1"/>
  <c r="Q53" i="1"/>
  <c r="Q54" i="1"/>
  <c r="Q56" i="1"/>
  <c r="Q55" i="1"/>
  <c r="Q57" i="1"/>
  <c r="Q49" i="1"/>
  <c r="E28" i="2"/>
  <c r="E33" i="2"/>
  <c r="E51" i="2"/>
  <c r="E35" i="2"/>
  <c r="E53" i="2"/>
  <c r="E24" i="2"/>
  <c r="E42" i="2"/>
  <c r="E31" i="2"/>
  <c r="E49" i="2"/>
  <c r="E14" i="2"/>
  <c r="P21" i="1"/>
  <c r="E18" i="2"/>
  <c r="E26" i="2"/>
  <c r="G65" i="1"/>
  <c r="K65" i="1"/>
  <c r="E63" i="1"/>
  <c r="F63" i="1"/>
  <c r="P63" i="1"/>
  <c r="E52" i="1"/>
  <c r="F52" i="1"/>
  <c r="P52" i="1"/>
  <c r="G50" i="1"/>
  <c r="I50" i="1"/>
  <c r="E47" i="1"/>
  <c r="F47" i="1"/>
  <c r="E39" i="1"/>
  <c r="F39" i="1"/>
  <c r="G33" i="1"/>
  <c r="I33" i="1"/>
  <c r="E31" i="1"/>
  <c r="F31" i="1"/>
  <c r="E23" i="1"/>
  <c r="F23" i="1"/>
  <c r="P23" i="1"/>
  <c r="R23" i="1"/>
  <c r="T15" i="1"/>
  <c r="T7" i="1"/>
  <c r="P41" i="1"/>
  <c r="E69" i="1"/>
  <c r="F69" i="1"/>
  <c r="P69" i="1"/>
  <c r="E57" i="1"/>
  <c r="F57" i="1"/>
  <c r="P57" i="1"/>
  <c r="G51" i="1"/>
  <c r="K51" i="1"/>
  <c r="E62" i="1"/>
  <c r="F62" i="1"/>
  <c r="P62" i="1"/>
  <c r="E44" i="1"/>
  <c r="F44" i="1"/>
  <c r="P44" i="1"/>
  <c r="R44" i="1" s="1"/>
  <c r="G38" i="1"/>
  <c r="I38" i="1"/>
  <c r="E36" i="1"/>
  <c r="F36" i="1"/>
  <c r="P36" i="1"/>
  <c r="R36" i="1" s="1"/>
  <c r="E28" i="1"/>
  <c r="F28" i="1"/>
  <c r="G22" i="1"/>
  <c r="I22" i="1"/>
  <c r="G67" i="1"/>
  <c r="K67" i="1"/>
  <c r="E65" i="1"/>
  <c r="F65" i="1"/>
  <c r="E54" i="1"/>
  <c r="F54" i="1"/>
  <c r="G54" i="1"/>
  <c r="K54" i="1"/>
  <c r="G60" i="1"/>
  <c r="K60" i="1"/>
  <c r="E50" i="1"/>
  <c r="F50" i="1"/>
  <c r="E41" i="1"/>
  <c r="F41" i="1"/>
  <c r="G41" i="1"/>
  <c r="I41" i="1"/>
  <c r="G35" i="1"/>
  <c r="I35" i="1"/>
  <c r="E33" i="1"/>
  <c r="F33" i="1"/>
  <c r="P33" i="1"/>
  <c r="R33" i="1" s="1"/>
  <c r="E25" i="1"/>
  <c r="F25" i="1"/>
  <c r="G25" i="1"/>
  <c r="I25" i="1"/>
  <c r="T13" i="1"/>
  <c r="T5" i="1"/>
  <c r="P47" i="1"/>
  <c r="R47" i="1" s="1"/>
  <c r="P39" i="1"/>
  <c r="R39" i="1" s="1"/>
  <c r="E61" i="1"/>
  <c r="F61" i="1"/>
  <c r="P61" i="1"/>
  <c r="R61" i="1" s="1"/>
  <c r="E51" i="1"/>
  <c r="F51" i="1"/>
  <c r="E46" i="1"/>
  <c r="F46" i="1"/>
  <c r="G46" i="1"/>
  <c r="I46" i="1"/>
  <c r="E38" i="1"/>
  <c r="F38" i="1"/>
  <c r="P38" i="1"/>
  <c r="R38" i="1" s="1"/>
  <c r="E30" i="1"/>
  <c r="F30" i="1"/>
  <c r="G30" i="1"/>
  <c r="I30" i="1"/>
  <c r="E22" i="1"/>
  <c r="F22" i="1"/>
  <c r="T12" i="1"/>
  <c r="P59" i="1"/>
  <c r="P42" i="1"/>
  <c r="P26" i="1"/>
  <c r="E67" i="1"/>
  <c r="F67" i="1"/>
  <c r="E56" i="1"/>
  <c r="F56" i="1"/>
  <c r="P56" i="1"/>
  <c r="E60" i="1"/>
  <c r="F60" i="1"/>
  <c r="E43" i="1"/>
  <c r="F43" i="1"/>
  <c r="G43" i="1"/>
  <c r="I43" i="1"/>
  <c r="E35" i="1"/>
  <c r="F35" i="1"/>
  <c r="E27" i="1"/>
  <c r="F27" i="1"/>
  <c r="P27" i="1"/>
  <c r="T2" i="1"/>
  <c r="T4" i="1"/>
  <c r="T19" i="1"/>
  <c r="T11" i="1"/>
  <c r="T3" i="1"/>
  <c r="P65" i="1"/>
  <c r="P51" i="1"/>
  <c r="R51" i="1"/>
  <c r="P45" i="1"/>
  <c r="R45" i="1" s="1"/>
  <c r="E64" i="1"/>
  <c r="F64" i="1"/>
  <c r="P64" i="1"/>
  <c r="R64" i="1" s="1"/>
  <c r="E53" i="1"/>
  <c r="F53" i="1"/>
  <c r="P53" i="1"/>
  <c r="E48" i="1"/>
  <c r="F48" i="1"/>
  <c r="G48" i="1"/>
  <c r="I48" i="1"/>
  <c r="E40" i="1"/>
  <c r="F40" i="1"/>
  <c r="G40" i="1"/>
  <c r="I40" i="1"/>
  <c r="E32" i="1"/>
  <c r="F32" i="1"/>
  <c r="G32" i="1"/>
  <c r="I32" i="1"/>
  <c r="E24" i="1"/>
  <c r="F24" i="1"/>
  <c r="G24" i="1"/>
  <c r="I24" i="1"/>
  <c r="G21" i="1"/>
  <c r="I21" i="1"/>
  <c r="P24" i="1"/>
  <c r="E68" i="1"/>
  <c r="F68" i="1"/>
  <c r="U68" i="1"/>
  <c r="G63" i="1"/>
  <c r="K63" i="1"/>
  <c r="E59" i="1"/>
  <c r="F59" i="1"/>
  <c r="G59" i="1"/>
  <c r="K59" i="1"/>
  <c r="G52" i="1"/>
  <c r="K52" i="1"/>
  <c r="E49" i="1"/>
  <c r="F49" i="1"/>
  <c r="G49" i="1"/>
  <c r="H49" i="1"/>
  <c r="G47" i="1"/>
  <c r="I47" i="1"/>
  <c r="E45" i="1"/>
  <c r="F45" i="1"/>
  <c r="G45" i="1"/>
  <c r="I45" i="1"/>
  <c r="G39" i="1"/>
  <c r="I39" i="1"/>
  <c r="E37" i="1"/>
  <c r="F37" i="1"/>
  <c r="G37" i="1"/>
  <c r="I37" i="1"/>
  <c r="G31" i="1"/>
  <c r="I31" i="1"/>
  <c r="E29" i="1"/>
  <c r="F29" i="1"/>
  <c r="G29" i="1"/>
  <c r="I29" i="1"/>
  <c r="G23" i="1"/>
  <c r="I23" i="1"/>
  <c r="T17" i="1"/>
  <c r="T9" i="1"/>
  <c r="P67" i="1"/>
  <c r="P60" i="1"/>
  <c r="P43" i="1"/>
  <c r="R43" i="1" s="1"/>
  <c r="P35" i="1"/>
  <c r="E66" i="1"/>
  <c r="F66" i="1"/>
  <c r="P66" i="1"/>
  <c r="G57" i="1"/>
  <c r="K57" i="1"/>
  <c r="E55" i="1"/>
  <c r="F55" i="1"/>
  <c r="P55" i="1"/>
  <c r="R55" i="1" s="1"/>
  <c r="E58" i="1"/>
  <c r="F58" i="1"/>
  <c r="G58" i="1"/>
  <c r="K58" i="1"/>
  <c r="G44" i="1"/>
  <c r="I44" i="1"/>
  <c r="E42" i="1"/>
  <c r="F42" i="1"/>
  <c r="G42" i="1"/>
  <c r="I42" i="1"/>
  <c r="E34" i="1"/>
  <c r="F34" i="1"/>
  <c r="P34" i="1"/>
  <c r="G28" i="1"/>
  <c r="I28" i="1"/>
  <c r="E26" i="1"/>
  <c r="F26" i="1"/>
  <c r="G26" i="1"/>
  <c r="I26" i="1"/>
  <c r="G34" i="1"/>
  <c r="I34" i="1"/>
  <c r="G66" i="1"/>
  <c r="K66" i="1"/>
  <c r="E11" i="2"/>
  <c r="G62" i="1"/>
  <c r="K62" i="1"/>
  <c r="R67" i="1"/>
  <c r="P32" i="1"/>
  <c r="R32" i="1"/>
  <c r="P29" i="1"/>
  <c r="R29" i="1" s="1"/>
  <c r="P54" i="1"/>
  <c r="R54" i="1" s="1"/>
  <c r="R42" i="1"/>
  <c r="G27" i="1"/>
  <c r="I27" i="1"/>
  <c r="G56" i="1"/>
  <c r="K56" i="1"/>
  <c r="P30" i="1"/>
  <c r="R30" i="1"/>
  <c r="E27" i="2"/>
  <c r="E43" i="2"/>
  <c r="E47" i="2"/>
  <c r="E15" i="2"/>
  <c r="P40" i="1"/>
  <c r="R40" i="1"/>
  <c r="P37" i="1"/>
  <c r="R37" i="1"/>
  <c r="P58" i="1"/>
  <c r="R58" i="1"/>
  <c r="G61" i="1"/>
  <c r="R21" i="1"/>
  <c r="E37" i="2"/>
  <c r="E12" i="2"/>
  <c r="E30" i="2"/>
  <c r="E40" i="2"/>
  <c r="P46" i="1"/>
  <c r="R46" i="1" s="1"/>
  <c r="E17" i="2"/>
  <c r="E41" i="2"/>
  <c r="E34" i="2"/>
  <c r="R52" i="1"/>
  <c r="E25" i="2"/>
  <c r="G36" i="1"/>
  <c r="I36" i="1"/>
  <c r="P68" i="1"/>
  <c r="R68" i="1"/>
  <c r="E29" i="2"/>
  <c r="P48" i="1"/>
  <c r="R48" i="1"/>
  <c r="R59" i="1"/>
  <c r="E19" i="2"/>
  <c r="G69" i="1"/>
  <c r="K69" i="1"/>
  <c r="R65" i="1"/>
  <c r="P25" i="1"/>
  <c r="R25" i="1"/>
  <c r="E50" i="2"/>
  <c r="E54" i="2"/>
  <c r="E22" i="2"/>
  <c r="E45" i="2"/>
  <c r="R35" i="1"/>
  <c r="G55" i="1"/>
  <c r="K55" i="1"/>
  <c r="G53" i="1"/>
  <c r="K53" i="1"/>
  <c r="R63" i="1"/>
  <c r="E44" i="2"/>
  <c r="E13" i="2"/>
  <c r="E16" i="2"/>
  <c r="E20" i="2"/>
  <c r="E39" i="2"/>
  <c r="R41" i="1"/>
  <c r="E38" i="2"/>
  <c r="E48" i="2"/>
  <c r="E36" i="2"/>
  <c r="E52" i="2"/>
  <c r="R60" i="1"/>
  <c r="E32" i="2"/>
  <c r="R26" i="1"/>
  <c r="R24" i="1"/>
  <c r="G64" i="1"/>
  <c r="K64" i="1"/>
  <c r="E21" i="2"/>
  <c r="R57" i="1"/>
  <c r="E46" i="2"/>
  <c r="R56" i="1"/>
  <c r="R27" i="1"/>
  <c r="K61" i="1"/>
  <c r="R34" i="1"/>
  <c r="R53" i="1"/>
  <c r="R69" i="1"/>
  <c r="R66" i="1"/>
  <c r="R62" i="1"/>
  <c r="C12" i="1"/>
  <c r="C11" i="1"/>
  <c r="O69" i="1" l="1"/>
  <c r="O68" i="1"/>
  <c r="O62" i="1"/>
  <c r="O38" i="1"/>
  <c r="O35" i="1"/>
  <c r="C15" i="1"/>
  <c r="O46" i="1"/>
  <c r="O64" i="1"/>
  <c r="O24" i="1"/>
  <c r="O47" i="1"/>
  <c r="O56" i="1"/>
  <c r="O36" i="1"/>
  <c r="O44" i="1"/>
  <c r="O29" i="1"/>
  <c r="O23" i="1"/>
  <c r="O57" i="1"/>
  <c r="O43" i="1"/>
  <c r="O66" i="1"/>
  <c r="O30" i="1"/>
  <c r="O37" i="1"/>
  <c r="O31" i="1"/>
  <c r="O25" i="1"/>
  <c r="O67" i="1"/>
  <c r="O60" i="1"/>
  <c r="O45" i="1"/>
  <c r="O33" i="1"/>
  <c r="O65" i="1"/>
  <c r="O63" i="1"/>
  <c r="O50" i="1"/>
  <c r="O40" i="1"/>
  <c r="O21" i="1"/>
  <c r="O39" i="1"/>
  <c r="O41" i="1"/>
  <c r="O61" i="1"/>
  <c r="O42" i="1"/>
  <c r="O26" i="1"/>
  <c r="O55" i="1"/>
  <c r="O48" i="1"/>
  <c r="O59" i="1"/>
  <c r="O32" i="1"/>
  <c r="O34" i="1"/>
  <c r="O28" i="1"/>
  <c r="O22" i="1"/>
  <c r="O58" i="1"/>
  <c r="O27" i="1"/>
  <c r="C16" i="1"/>
  <c r="D18" i="1" s="1"/>
  <c r="F16" i="1"/>
  <c r="P31" i="1"/>
  <c r="R31" i="1" s="1"/>
  <c r="P28" i="1"/>
  <c r="R28" i="1" s="1"/>
  <c r="T18" i="1"/>
  <c r="P50" i="1"/>
  <c r="R50" i="1" s="1"/>
  <c r="T16" i="1"/>
  <c r="F18" i="1" l="1"/>
  <c r="F19" i="1" s="1"/>
  <c r="C18" i="1"/>
</calcChain>
</file>

<file path=xl/sharedStrings.xml><?xml version="1.0" encoding="utf-8"?>
<sst xmlns="http://schemas.openxmlformats.org/spreadsheetml/2006/main" count="482" uniqueCount="239">
  <si>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</si>
  <si>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</si>
  <si>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</si>
  <si>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</si>
  <si>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</si>
  <si>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</si>
  <si>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</si>
  <si>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</si>
  <si>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</si>
  <si>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</si>
  <si>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</si>
  <si>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</si>
  <si>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</si>
  <si>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</si>
  <si>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</si>
  <si>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</si>
  <si>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</si>
  <si>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</si>
  <si>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</si>
  <si>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</si>
  <si>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</si>
  <si>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</si>
  <si>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</si>
  <si>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</si>
  <si>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</si>
  <si>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</si>
  <si>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</si>
  <si>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</si>
  <si>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5502</t>
  </si>
  <si>
    <t>IBVS 5484</t>
  </si>
  <si>
    <t>IBVS 5296</t>
  </si>
  <si>
    <t>I</t>
  </si>
  <si>
    <t>EA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</si>
  <si>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</si>
  <si>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</si>
  <si>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</si>
  <si>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</si>
  <si>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</si>
  <si>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</si>
  <si>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</si>
  <si>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AL Tau / GSC 1852-0675</t>
  </si>
  <si>
    <t>Start of linear fit &gt;&gt;&gt;&gt;&gt;&gt;&gt;&gt;&gt;&gt;&gt;&gt;&gt;&gt;&gt;&gt;&gt;&gt;&gt;&gt;&gt;</t>
  </si>
  <si>
    <t>OEJV 0107</t>
  </si>
  <si>
    <t>Q.fit</t>
  </si>
  <si>
    <t>IBVS 5945</t>
  </si>
  <si>
    <t>IBVS 5918</t>
  </si>
  <si>
    <t>IBVS 6029</t>
  </si>
  <si>
    <t>IBVS 6149</t>
  </si>
  <si>
    <t>IBVS 6152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</si>
  <si>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</si>
  <si>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</si>
  <si>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</si>
  <si>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</si>
  <si>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</si>
  <si>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</si>
  <si>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</si>
  <si>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</si>
  <si>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</si>
  <si>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</si>
  <si>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</si>
  <si>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</si>
  <si>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2427452.465 </t>
  </si>
  <si>
    <t> 14.01.1934 23:09 </t>
  </si>
  <si>
    <t> -0.008 </t>
  </si>
  <si>
    <t>V </t>
  </si>
  <si>
    <t> Piotrowski [Kord.] </t>
  </si>
  <si>
    <t> AA 6.109 </t>
  </si>
  <si>
    <t>2427453.383 </t>
  </si>
  <si>
    <t> 15.01.1934 21:11 </t>
  </si>
  <si>
    <t> -0.021 </t>
  </si>
  <si>
    <t>2427455.278 </t>
  </si>
  <si>
    <t> 17.01.1934 18:40 </t>
  </si>
  <si>
    <t> 0.013 </t>
  </si>
  <si>
    <t>2427507.395 </t>
  </si>
  <si>
    <t> 10.03.1934 21:28 </t>
  </si>
  <si>
    <t>2427534.382 </t>
  </si>
  <si>
    <t> 06.04.1934 21:10 </t>
  </si>
  <si>
    <t> 0.011 </t>
  </si>
  <si>
    <t>2427535.286 </t>
  </si>
  <si>
    <t> 07.04.1934 18:51 </t>
  </si>
  <si>
    <t> -0.016 </t>
  </si>
  <si>
    <t>2427692.561 </t>
  </si>
  <si>
    <t> 12.09.1934 01:27 </t>
  </si>
  <si>
    <t> -0.022 </t>
  </si>
  <si>
    <t>2427693.504 </t>
  </si>
  <si>
    <t> 13.09.1934 00:05 </t>
  </si>
  <si>
    <t> -0.010 </t>
  </si>
  <si>
    <t>2428165.344 </t>
  </si>
  <si>
    <t> 28.12.1935 20:15 </t>
  </si>
  <si>
    <t> -0.013 </t>
  </si>
  <si>
    <t>2432539.490 </t>
  </si>
  <si>
    <t> 19.12.1947 23:45 </t>
  </si>
  <si>
    <t> 0.040 </t>
  </si>
  <si>
    <t> R.Szafraniec </t>
  </si>
  <si>
    <t> AAC 4.83 </t>
  </si>
  <si>
    <t>2432609.275 </t>
  </si>
  <si>
    <t> 27.02.1948 18:36 </t>
  </si>
  <si>
    <t> 0.026 </t>
  </si>
  <si>
    <t>2432794.474 </t>
  </si>
  <si>
    <t> 30.08.1948 23:22 </t>
  </si>
  <si>
    <t> 0.024 </t>
  </si>
  <si>
    <t>2432807.506 </t>
  </si>
  <si>
    <t> 13.09.1948 00:08 </t>
  </si>
  <si>
    <t> 0.027 </t>
  </si>
  <si>
    <t> AAC 4.115 </t>
  </si>
  <si>
    <t>2432888.449 </t>
  </si>
  <si>
    <t> 02.12.1948 22:46 </t>
  </si>
  <si>
    <t> 0.002 </t>
  </si>
  <si>
    <t>2432889.385 </t>
  </si>
  <si>
    <t> 03.12.1948 21:14 </t>
  </si>
  <si>
    <t> 0.008 </t>
  </si>
  <si>
    <t>2433211.378 </t>
  </si>
  <si>
    <t> 21.10.1949 21:04 </t>
  </si>
  <si>
    <t> -0.007 </t>
  </si>
  <si>
    <t> AAC 5.6 </t>
  </si>
  <si>
    <t>2433265.367 </t>
  </si>
  <si>
    <t> 14.12.1949 20:48 </t>
  </si>
  <si>
    <t> 0.004 </t>
  </si>
  <si>
    <t>2433305.368 </t>
  </si>
  <si>
    <t> 23.01.1950 20:49 </t>
  </si>
  <si>
    <t>2433306.305 </t>
  </si>
  <si>
    <t> 24.01.1950 19:19 </t>
  </si>
  <si>
    <t> AAC 5.9 </t>
  </si>
  <si>
    <t>2433332.362 </t>
  </si>
  <si>
    <t> 19.02.1950 20:41 </t>
  </si>
  <si>
    <t> -0.009 </t>
  </si>
  <si>
    <t>2433570.619 </t>
  </si>
  <si>
    <t> 16.10.1950 02:51 </t>
  </si>
  <si>
    <t> 0.000 </t>
  </si>
  <si>
    <t>2433599.470 </t>
  </si>
  <si>
    <t> 13.11.1950 23:16 </t>
  </si>
  <si>
    <t> 0.001 </t>
  </si>
  <si>
    <t>2433949.379 </t>
  </si>
  <si>
    <t> 29.10.1951 21:05 </t>
  </si>
  <si>
    <t> -0.018 </t>
  </si>
  <si>
    <t> AAC 5.12 </t>
  </si>
  <si>
    <t>2434043.375 </t>
  </si>
  <si>
    <t> 31.01.1952 21:00 </t>
  </si>
  <si>
    <t>2434419.380 </t>
  </si>
  <si>
    <t> 10.02.1953 21:07 </t>
  </si>
  <si>
    <t> AAC 5.192 </t>
  </si>
  <si>
    <t>2434698.546 </t>
  </si>
  <si>
    <t> 17.11.1953 01:06 </t>
  </si>
  <si>
    <t> -0.030 </t>
  </si>
  <si>
    <t>2435075.503 </t>
  </si>
  <si>
    <t> 29.11.1954 00:04 </t>
  </si>
  <si>
    <t> 0.010 </t>
  </si>
  <si>
    <t> AAC 5.195 </t>
  </si>
  <si>
    <t>2435130.388 </t>
  </si>
  <si>
    <t> 22.01.1955 21:18 </t>
  </si>
  <si>
    <t> -0.014 </t>
  </si>
  <si>
    <t>2436163.436 </t>
  </si>
  <si>
    <t> 20.11.1957 22:27 </t>
  </si>
  <si>
    <t> AA 8.192 </t>
  </si>
  <si>
    <t>2451570.5265 </t>
  </si>
  <si>
    <t> 27.01.2000 00:38 </t>
  </si>
  <si>
    <t> 0.0511 </t>
  </si>
  <si>
    <t>E </t>
  </si>
  <si>
    <t>-I</t>
  </si>
  <si>
    <t> W.Quester </t>
  </si>
  <si>
    <t>BAVM 152 </t>
  </si>
  <si>
    <t>2451839.4881 </t>
  </si>
  <si>
    <t> 21.10.2000 23:42 </t>
  </si>
  <si>
    <t>17954</t>
  </si>
  <si>
    <t> 0.0526 </t>
  </si>
  <si>
    <t>2451840.4204 </t>
  </si>
  <si>
    <t> 22.10.2000 22:05 </t>
  </si>
  <si>
    <t>17955</t>
  </si>
  <si>
    <t> 0.0542 </t>
  </si>
  <si>
    <t>2452656.6115 </t>
  </si>
  <si>
    <t> 17.01.2003 02:40 </t>
  </si>
  <si>
    <t>18832</t>
  </si>
  <si>
    <t> 0.0582 </t>
  </si>
  <si>
    <t>?</t>
  </si>
  <si>
    <t> S.Dvorak </t>
  </si>
  <si>
    <t>IBVS 5502 </t>
  </si>
  <si>
    <t>2452685.458 </t>
  </si>
  <si>
    <t> 14.02.2003 22:59 </t>
  </si>
  <si>
    <t>18863</t>
  </si>
  <si>
    <t> 0.054 </t>
  </si>
  <si>
    <t>BAVM 158 </t>
  </si>
  <si>
    <t>2453637.5139 </t>
  </si>
  <si>
    <t> 24.09.2005 00:20 </t>
  </si>
  <si>
    <t>19886</t>
  </si>
  <si>
    <t> 0.0471 </t>
  </si>
  <si>
    <t>C </t>
  </si>
  <si>
    <t>R</t>
  </si>
  <si>
    <t> M.Lehky </t>
  </si>
  <si>
    <t>OEJV 0107 </t>
  </si>
  <si>
    <t>2453705.4514 </t>
  </si>
  <si>
    <t> 30.11.2005 22:50 </t>
  </si>
  <si>
    <t>19959</t>
  </si>
  <si>
    <t> 0.0466 </t>
  </si>
  <si>
    <t> M. Zejda et al. </t>
  </si>
  <si>
    <t>IBVS 5741 </t>
  </si>
  <si>
    <t>2454026.528 </t>
  </si>
  <si>
    <t> 18.10.2006 00:40 </t>
  </si>
  <si>
    <t>20304</t>
  </si>
  <si>
    <t> 0.046 </t>
  </si>
  <si>
    <t>o</t>
  </si>
  <si>
    <t> Moschner &amp; Frank </t>
  </si>
  <si>
    <t>BAVM 186 </t>
  </si>
  <si>
    <t>2454135.4136 </t>
  </si>
  <si>
    <t> 03.02.2007 21:55 </t>
  </si>
  <si>
    <t>20421</t>
  </si>
  <si>
    <t> 0.0448 </t>
  </si>
  <si>
    <t>2454847.3682 </t>
  </si>
  <si>
    <t> 15.01.2009 20:50 </t>
  </si>
  <si>
    <t>21186</t>
  </si>
  <si>
    <t> 0.0460 </t>
  </si>
  <si>
    <t> W.Moschner &amp; P.Frank </t>
  </si>
  <si>
    <t>BAVM 209 </t>
  </si>
  <si>
    <t>2455245.6911 </t>
  </si>
  <si>
    <t> 18.02.2010 04:35 </t>
  </si>
  <si>
    <t>21614</t>
  </si>
  <si>
    <t> 0.0473 </t>
  </si>
  <si>
    <t> R.Diethelm </t>
  </si>
  <si>
    <t>IBVS 5945 </t>
  </si>
  <si>
    <t>2455957.6504 </t>
  </si>
  <si>
    <t> 31.01.2012 03:36 </t>
  </si>
  <si>
    <t>22379</t>
  </si>
  <si>
    <t> 0.0532 </t>
  </si>
  <si>
    <t>IBVS 6029 </t>
  </si>
  <si>
    <t>2456727.3077 </t>
  </si>
  <si>
    <t> 10.03.2014 19:23 </t>
  </si>
  <si>
    <t>23206</t>
  </si>
  <si>
    <t> 0.0564 </t>
  </si>
  <si>
    <t> U.Schmidt </t>
  </si>
  <si>
    <t>BAVM 238 </t>
  </si>
  <si>
    <t>2456932.5840 </t>
  </si>
  <si>
    <t> 02.10.2014 02:00 </t>
  </si>
  <si>
    <t>23426.5</t>
  </si>
  <si>
    <t> 0.1226 </t>
  </si>
  <si>
    <t>BAVM 239 </t>
  </si>
  <si>
    <t>2456964.6263 </t>
  </si>
  <si>
    <t> 03.11.2014 03:01 </t>
  </si>
  <si>
    <t>23461</t>
  </si>
  <si>
    <t> 0.0572 </t>
  </si>
  <si>
    <t> F.Agerer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</si>
</sst>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11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9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" borderId="15" xfId="0" applyFont="1" applyFill="1" applyBorder="1" applyAlignment="1">
      <alignment horizontal="left" vertical="top" wrapText="1" inden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right" vertical="top" wrapText="1"/>
    </xf>
    <xf numFmtId="0" fontId="19" fillId="2" borderId="15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1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Tau - O-C Diagr.</a:t>
            </a:r>
          </a:p>
        </c:rich>
      </c:tx>
      <c:layout>
        <c:manualLayout>
          <c:xMode val="edge"/>
          <c:yMode val="edge"/>
          <c:x val="0.3790322580645161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7-423F-9DBD-9F26E1D0A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-8.2999999976891559E-3</c:v>
                </c:pt>
                <c:pt idx="1">
                  <c:v>-2.0957999997335719E-2</c:v>
                </c:pt>
                <c:pt idx="2">
                  <c:v>1.2726000000839122E-2</c:v>
                </c:pt>
                <c:pt idx="3">
                  <c:v>1.2878000001364853E-2</c:v>
                </c:pt>
                <c:pt idx="4">
                  <c:v>1.0796000002301298E-2</c:v>
                </c:pt>
                <c:pt idx="5">
                  <c:v>-1.586200000019744E-2</c:v>
                </c:pt>
                <c:pt idx="6">
                  <c:v>-2.2063999997044448E-2</c:v>
                </c:pt>
                <c:pt idx="7">
                  <c:v>-9.7219999988737982E-3</c:v>
                </c:pt>
                <c:pt idx="8">
                  <c:v>-1.3327999997272855E-2</c:v>
                </c:pt>
                <c:pt idx="9">
                  <c:v>4.0072000003419816E-2</c:v>
                </c:pt>
                <c:pt idx="10">
                  <c:v>2.5722000002133427E-2</c:v>
                </c:pt>
                <c:pt idx="11">
                  <c:v>2.3780000003171153E-2</c:v>
                </c:pt>
                <c:pt idx="12">
                  <c:v>2.6568000001134351E-2</c:v>
                </c:pt>
                <c:pt idx="13">
                  <c:v>2.3220000002766028E-3</c:v>
                </c:pt>
                <c:pt idx="14">
                  <c:v>7.6640000042971224E-3</c:v>
                </c:pt>
                <c:pt idx="15">
                  <c:v>-7.0039999991422519E-3</c:v>
                </c:pt>
                <c:pt idx="16">
                  <c:v>3.8320000021485612E-3</c:v>
                </c:pt>
                <c:pt idx="17">
                  <c:v>-1.3461999995342921E-2</c:v>
                </c:pt>
                <c:pt idx="18">
                  <c:v>-7.1200000020326115E-3</c:v>
                </c:pt>
                <c:pt idx="19">
                  <c:v>-8.5439999966183677E-3</c:v>
                </c:pt>
                <c:pt idx="20">
                  <c:v>7.9999954323284328E-6</c:v>
                </c:pt>
                <c:pt idx="21">
                  <c:v>6.1000000277999789E-4</c:v>
                </c:pt>
                <c:pt idx="22">
                  <c:v>-1.7798000000766478E-2</c:v>
                </c:pt>
                <c:pt idx="23">
                  <c:v>-1.8256000003020745E-2</c:v>
                </c:pt>
                <c:pt idx="24">
                  <c:v>9.1199999587843195E-4</c:v>
                </c:pt>
                <c:pt idx="25">
                  <c:v>-3.0487999996694271E-2</c:v>
                </c:pt>
                <c:pt idx="26">
                  <c:v>1.002199999493314E-2</c:v>
                </c:pt>
                <c:pt idx="27">
                  <c:v>-1.3800000000628643E-2</c:v>
                </c:pt>
                <c:pt idx="29">
                  <c:v>3.8200000053620897E-3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7-423F-9DBD-9F26E1D0A6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F7-423F-9DBD-9F26E1D0A6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0">
                  <c:v>5.4997999999613967E-2</c:v>
                </c:pt>
                <c:pt idx="31">
                  <c:v>5.1129999999830034E-2</c:v>
                </c:pt>
                <c:pt idx="32">
                  <c:v>5.256799999915529E-2</c:v>
                </c:pt>
                <c:pt idx="33">
                  <c:v>5.4210000002058223E-2</c:v>
                </c:pt>
                <c:pt idx="34">
                  <c:v>5.8243999999831431E-2</c:v>
                </c:pt>
                <c:pt idx="35">
                  <c:v>5.8243999999831431E-2</c:v>
                </c:pt>
                <c:pt idx="36">
                  <c:v>5.434600000444334E-2</c:v>
                </c:pt>
                <c:pt idx="37">
                  <c:v>4.711200000019744E-2</c:v>
                </c:pt>
                <c:pt idx="38">
                  <c:v>4.7202000001561828E-2</c:v>
                </c:pt>
                <c:pt idx="39">
                  <c:v>4.6578000001318287E-2</c:v>
                </c:pt>
                <c:pt idx="40">
                  <c:v>4.6168000000761822E-2</c:v>
                </c:pt>
                <c:pt idx="41">
                  <c:v>4.4781999997212552E-2</c:v>
                </c:pt>
                <c:pt idx="42">
                  <c:v>4.4792000000597909E-2</c:v>
                </c:pt>
                <c:pt idx="43">
                  <c:v>4.6011999998881947E-2</c:v>
                </c:pt>
                <c:pt idx="44">
                  <c:v>4.7288000001572073E-2</c:v>
                </c:pt>
                <c:pt idx="45">
                  <c:v>5.3218000000924803E-2</c:v>
                </c:pt>
                <c:pt idx="46">
                  <c:v>5.6351999999606051E-2</c:v>
                </c:pt>
                <c:pt idx="48">
                  <c:v>5.7162000004609581E-2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F7-423F-9DBD-9F26E1D0A6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F7-423F-9DBD-9F26E1D0A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F7-423F-9DBD-9F26E1D0A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F7-423F-9DBD-9F26E1D0A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-6.9773385448856473E-2</c:v>
                </c:pt>
                <c:pt idx="1">
                  <c:v>-6.9769393846277325E-2</c:v>
                </c:pt>
                <c:pt idx="2">
                  <c:v>-6.9761410641119043E-2</c:v>
                </c:pt>
                <c:pt idx="3">
                  <c:v>-6.9537880896686916E-2</c:v>
                </c:pt>
                <c:pt idx="4">
                  <c:v>-6.9422124421891718E-2</c:v>
                </c:pt>
                <c:pt idx="5">
                  <c:v>-6.941813281931257E-2</c:v>
                </c:pt>
                <c:pt idx="6">
                  <c:v>-6.8743551983437068E-2</c:v>
                </c:pt>
                <c:pt idx="7">
                  <c:v>-6.873956038085792E-2</c:v>
                </c:pt>
                <c:pt idx="8">
                  <c:v>-6.6715817873231414E-2</c:v>
                </c:pt>
                <c:pt idx="9">
                  <c:v>-4.7955285751249979E-2</c:v>
                </c:pt>
                <c:pt idx="10">
                  <c:v>-4.7655915557814107E-2</c:v>
                </c:pt>
                <c:pt idx="11">
                  <c:v>-4.6861586644564253E-2</c:v>
                </c:pt>
                <c:pt idx="12">
                  <c:v>-4.6805704208456221E-2</c:v>
                </c:pt>
                <c:pt idx="13">
                  <c:v>-4.6458434784070607E-2</c:v>
                </c:pt>
                <c:pt idx="14">
                  <c:v>-4.6454443181491466E-2</c:v>
                </c:pt>
                <c:pt idx="15">
                  <c:v>-4.5073348689107298E-2</c:v>
                </c:pt>
                <c:pt idx="16">
                  <c:v>-4.4841835739516889E-2</c:v>
                </c:pt>
                <c:pt idx="17">
                  <c:v>-4.4670196828613659E-2</c:v>
                </c:pt>
                <c:pt idx="18">
                  <c:v>-4.4666205226034511E-2</c:v>
                </c:pt>
                <c:pt idx="19">
                  <c:v>-4.4554440353818454E-2</c:v>
                </c:pt>
                <c:pt idx="20">
                  <c:v>-4.3532590093557338E-2</c:v>
                </c:pt>
                <c:pt idx="21">
                  <c:v>-4.3408850413603838E-2</c:v>
                </c:pt>
                <c:pt idx="22">
                  <c:v>-4.1908007843845324E-2</c:v>
                </c:pt>
                <c:pt idx="23">
                  <c:v>-4.1504855983351685E-2</c:v>
                </c:pt>
                <c:pt idx="24">
                  <c:v>-3.9892248541377108E-2</c:v>
                </c:pt>
                <c:pt idx="25">
                  <c:v>-3.8694767767633614E-2</c:v>
                </c:pt>
                <c:pt idx="26">
                  <c:v>-3.7078168723079896E-2</c:v>
                </c:pt>
                <c:pt idx="27">
                  <c:v>-3.6842664170910339E-2</c:v>
                </c:pt>
                <c:pt idx="29">
                  <c:v>-3.2411985308059402E-2</c:v>
                </c:pt>
                <c:pt idx="34">
                  <c:v>3.8327195599548031E-2</c:v>
                </c:pt>
                <c:pt idx="35">
                  <c:v>3.8327195599548031E-2</c:v>
                </c:pt>
                <c:pt idx="36">
                  <c:v>3.8450935279501525E-2</c:v>
                </c:pt>
                <c:pt idx="37">
                  <c:v>4.2534344717966854E-2</c:v>
                </c:pt>
                <c:pt idx="38">
                  <c:v>4.2534344717966854E-2</c:v>
                </c:pt>
                <c:pt idx="39">
                  <c:v>4.282573170624443E-2</c:v>
                </c:pt>
                <c:pt idx="40">
                  <c:v>4.4202834596049456E-2</c:v>
                </c:pt>
                <c:pt idx="41">
                  <c:v>4.4669852097809423E-2</c:v>
                </c:pt>
                <c:pt idx="42">
                  <c:v>4.4669852097809423E-2</c:v>
                </c:pt>
                <c:pt idx="43">
                  <c:v>4.7723428070855334E-2</c:v>
                </c:pt>
                <c:pt idx="44">
                  <c:v>4.9431833974729389E-2</c:v>
                </c:pt>
                <c:pt idx="45">
                  <c:v>5.2485409947775299E-2</c:v>
                </c:pt>
                <c:pt idx="46">
                  <c:v>5.5786465280728212E-2</c:v>
                </c:pt>
                <c:pt idx="47">
                  <c:v>5.6666613649429681E-2</c:v>
                </c:pt>
                <c:pt idx="48">
                  <c:v>5.6804323938410173E-2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F7-423F-9DBD-9F26E1D0A639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Active!$S$2:$S$19</c:f>
              <c:numCache>
                <c:formatCode>General</c:formatCode>
                <c:ptCount val="18"/>
                <c:pt idx="0">
                  <c:v>17000</c:v>
                </c:pt>
                <c:pt idx="1">
                  <c:v>17250</c:v>
                </c:pt>
                <c:pt idx="2">
                  <c:v>17500</c:v>
                </c:pt>
                <c:pt idx="3">
                  <c:v>17750</c:v>
                </c:pt>
                <c:pt idx="4">
                  <c:v>18000</c:v>
                </c:pt>
                <c:pt idx="5">
                  <c:v>18250</c:v>
                </c:pt>
                <c:pt idx="6">
                  <c:v>18500</c:v>
                </c:pt>
                <c:pt idx="7">
                  <c:v>18750</c:v>
                </c:pt>
                <c:pt idx="8">
                  <c:v>19000</c:v>
                </c:pt>
                <c:pt idx="9">
                  <c:v>19250</c:v>
                </c:pt>
                <c:pt idx="10">
                  <c:v>19500</c:v>
                </c:pt>
                <c:pt idx="11">
                  <c:v>19750</c:v>
                </c:pt>
                <c:pt idx="12">
                  <c:v>20000</c:v>
                </c:pt>
                <c:pt idx="13">
                  <c:v>20250</c:v>
                </c:pt>
                <c:pt idx="14">
                  <c:v>20500</c:v>
                </c:pt>
                <c:pt idx="15">
                  <c:v>20750</c:v>
                </c:pt>
                <c:pt idx="16">
                  <c:v>21000</c:v>
                </c:pt>
                <c:pt idx="17">
                  <c:v>21250</c:v>
                </c:pt>
              </c:numCache>
            </c:numRef>
          </c:xVal>
          <c:yVal>
            <c:numRef>
              <c:f>Active!$T$2:$T$19</c:f>
              <c:numCache>
                <c:formatCode>0.00E+00</c:formatCode>
                <c:ptCount val="18"/>
                <c:pt idx="0">
                  <c:v>4.5738046113333208E-2</c:v>
                </c:pt>
                <c:pt idx="1">
                  <c:v>4.8472825331351332E-2</c:v>
                </c:pt>
                <c:pt idx="2">
                  <c:v>5.075831863601632E-2</c:v>
                </c:pt>
                <c:pt idx="3">
                  <c:v>5.259452602732817E-2</c:v>
                </c:pt>
                <c:pt idx="4">
                  <c:v>5.3981447505286884E-2</c:v>
                </c:pt>
                <c:pt idx="5">
                  <c:v>5.4919083069892904E-2</c:v>
                </c:pt>
                <c:pt idx="6">
                  <c:v>5.5407432721145344E-2</c:v>
                </c:pt>
                <c:pt idx="7">
                  <c:v>5.5446496459044869E-2</c:v>
                </c:pt>
                <c:pt idx="8">
                  <c:v>5.5036274283591036E-2</c:v>
                </c:pt>
                <c:pt idx="9">
                  <c:v>5.4176766194784065E-2</c:v>
                </c:pt>
                <c:pt idx="10">
                  <c:v>5.2867972192624624E-2</c:v>
                </c:pt>
                <c:pt idx="11">
                  <c:v>5.1109892277111379E-2</c:v>
                </c:pt>
                <c:pt idx="12">
                  <c:v>4.890252644824522E-2</c:v>
                </c:pt>
                <c:pt idx="13">
                  <c:v>4.6245874706025925E-2</c:v>
                </c:pt>
                <c:pt idx="14">
                  <c:v>4.3139937050453492E-2</c:v>
                </c:pt>
                <c:pt idx="15">
                  <c:v>3.9584713481528144E-2</c:v>
                </c:pt>
                <c:pt idx="16">
                  <c:v>3.5580203999249438E-2</c:v>
                </c:pt>
                <c:pt idx="17">
                  <c:v>3.1126408603617595E-2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F7-423F-9DBD-9F26E1D0A63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7">
                  <c:v>0.12256300000444753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F7-423F-9DBD-9F26E1D0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81880"/>
        <c:axId val="1"/>
      </c:scatterChart>
      <c:valAx>
        <c:axId val="53078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8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48387096774197E-2"/>
          <c:y val="0.92145141978098655"/>
          <c:w val="0.8983870967741935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Tau - O-C Diagr.</a:t>
            </a:r>
          </a:p>
        </c:rich>
      </c:tx>
      <c:layout>
        <c:manualLayout>
          <c:xMode val="edge"/>
          <c:yMode val="edge"/>
          <c:x val="0.3800328823631345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5560470700721"/>
          <c:y val="0.14457831325301204"/>
          <c:w val="0.81642640465605598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66-4389-B545-C6AE0A579C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-8.2999999976891559E-3</c:v>
                </c:pt>
                <c:pt idx="1">
                  <c:v>-2.0957999997335719E-2</c:v>
                </c:pt>
                <c:pt idx="2">
                  <c:v>1.2726000000839122E-2</c:v>
                </c:pt>
                <c:pt idx="3">
                  <c:v>1.2878000001364853E-2</c:v>
                </c:pt>
                <c:pt idx="4">
                  <c:v>1.0796000002301298E-2</c:v>
                </c:pt>
                <c:pt idx="5">
                  <c:v>-1.586200000019744E-2</c:v>
                </c:pt>
                <c:pt idx="6">
                  <c:v>-2.2063999997044448E-2</c:v>
                </c:pt>
                <c:pt idx="7">
                  <c:v>-9.7219999988737982E-3</c:v>
                </c:pt>
                <c:pt idx="8">
                  <c:v>-1.3327999997272855E-2</c:v>
                </c:pt>
                <c:pt idx="9">
                  <c:v>4.0072000003419816E-2</c:v>
                </c:pt>
                <c:pt idx="10">
                  <c:v>2.5722000002133427E-2</c:v>
                </c:pt>
                <c:pt idx="11">
                  <c:v>2.3780000003171153E-2</c:v>
                </c:pt>
                <c:pt idx="12">
                  <c:v>2.6568000001134351E-2</c:v>
                </c:pt>
                <c:pt idx="13">
                  <c:v>2.3220000002766028E-3</c:v>
                </c:pt>
                <c:pt idx="14">
                  <c:v>7.6640000042971224E-3</c:v>
                </c:pt>
                <c:pt idx="15">
                  <c:v>-7.0039999991422519E-3</c:v>
                </c:pt>
                <c:pt idx="16">
                  <c:v>3.8320000021485612E-3</c:v>
                </c:pt>
                <c:pt idx="17">
                  <c:v>-1.3461999995342921E-2</c:v>
                </c:pt>
                <c:pt idx="18">
                  <c:v>-7.1200000020326115E-3</c:v>
                </c:pt>
                <c:pt idx="19">
                  <c:v>-8.5439999966183677E-3</c:v>
                </c:pt>
                <c:pt idx="20">
                  <c:v>7.9999954323284328E-6</c:v>
                </c:pt>
                <c:pt idx="21">
                  <c:v>6.1000000277999789E-4</c:v>
                </c:pt>
                <c:pt idx="22">
                  <c:v>-1.7798000000766478E-2</c:v>
                </c:pt>
                <c:pt idx="23">
                  <c:v>-1.8256000003020745E-2</c:v>
                </c:pt>
                <c:pt idx="24">
                  <c:v>9.1199999587843195E-4</c:v>
                </c:pt>
                <c:pt idx="25">
                  <c:v>-3.0487999996694271E-2</c:v>
                </c:pt>
                <c:pt idx="26">
                  <c:v>1.002199999493314E-2</c:v>
                </c:pt>
                <c:pt idx="27">
                  <c:v>-1.3800000000628643E-2</c:v>
                </c:pt>
                <c:pt idx="29">
                  <c:v>3.8200000053620897E-3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66-4389-B545-C6AE0A579C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66-4389-B545-C6AE0A579C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0">
                  <c:v>5.4997999999613967E-2</c:v>
                </c:pt>
                <c:pt idx="31">
                  <c:v>5.1129999999830034E-2</c:v>
                </c:pt>
                <c:pt idx="32">
                  <c:v>5.256799999915529E-2</c:v>
                </c:pt>
                <c:pt idx="33">
                  <c:v>5.4210000002058223E-2</c:v>
                </c:pt>
                <c:pt idx="34">
                  <c:v>5.8243999999831431E-2</c:v>
                </c:pt>
                <c:pt idx="35">
                  <c:v>5.8243999999831431E-2</c:v>
                </c:pt>
                <c:pt idx="36">
                  <c:v>5.434600000444334E-2</c:v>
                </c:pt>
                <c:pt idx="37">
                  <c:v>4.711200000019744E-2</c:v>
                </c:pt>
                <c:pt idx="38">
                  <c:v>4.7202000001561828E-2</c:v>
                </c:pt>
                <c:pt idx="39">
                  <c:v>4.6578000001318287E-2</c:v>
                </c:pt>
                <c:pt idx="40">
                  <c:v>4.6168000000761822E-2</c:v>
                </c:pt>
                <c:pt idx="41">
                  <c:v>4.4781999997212552E-2</c:v>
                </c:pt>
                <c:pt idx="42">
                  <c:v>4.4792000000597909E-2</c:v>
                </c:pt>
                <c:pt idx="43">
                  <c:v>4.6011999998881947E-2</c:v>
                </c:pt>
                <c:pt idx="44">
                  <c:v>4.7288000001572073E-2</c:v>
                </c:pt>
                <c:pt idx="45">
                  <c:v>5.3218000000924803E-2</c:v>
                </c:pt>
                <c:pt idx="46">
                  <c:v>5.6351999999606051E-2</c:v>
                </c:pt>
                <c:pt idx="48">
                  <c:v>5.7162000004609581E-2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66-4389-B545-C6AE0A579C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66-4389-B545-C6AE0A579C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66-4389-B545-C6AE0A579C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66-4389-B545-C6AE0A579C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-6.9773385448856473E-2</c:v>
                </c:pt>
                <c:pt idx="1">
                  <c:v>-6.9769393846277325E-2</c:v>
                </c:pt>
                <c:pt idx="2">
                  <c:v>-6.9761410641119043E-2</c:v>
                </c:pt>
                <c:pt idx="3">
                  <c:v>-6.9537880896686916E-2</c:v>
                </c:pt>
                <c:pt idx="4">
                  <c:v>-6.9422124421891718E-2</c:v>
                </c:pt>
                <c:pt idx="5">
                  <c:v>-6.941813281931257E-2</c:v>
                </c:pt>
                <c:pt idx="6">
                  <c:v>-6.8743551983437068E-2</c:v>
                </c:pt>
                <c:pt idx="7">
                  <c:v>-6.873956038085792E-2</c:v>
                </c:pt>
                <c:pt idx="8">
                  <c:v>-6.6715817873231414E-2</c:v>
                </c:pt>
                <c:pt idx="9">
                  <c:v>-4.7955285751249979E-2</c:v>
                </c:pt>
                <c:pt idx="10">
                  <c:v>-4.7655915557814107E-2</c:v>
                </c:pt>
                <c:pt idx="11">
                  <c:v>-4.6861586644564253E-2</c:v>
                </c:pt>
                <c:pt idx="12">
                  <c:v>-4.6805704208456221E-2</c:v>
                </c:pt>
                <c:pt idx="13">
                  <c:v>-4.6458434784070607E-2</c:v>
                </c:pt>
                <c:pt idx="14">
                  <c:v>-4.6454443181491466E-2</c:v>
                </c:pt>
                <c:pt idx="15">
                  <c:v>-4.5073348689107298E-2</c:v>
                </c:pt>
                <c:pt idx="16">
                  <c:v>-4.4841835739516889E-2</c:v>
                </c:pt>
                <c:pt idx="17">
                  <c:v>-4.4670196828613659E-2</c:v>
                </c:pt>
                <c:pt idx="18">
                  <c:v>-4.4666205226034511E-2</c:v>
                </c:pt>
                <c:pt idx="19">
                  <c:v>-4.4554440353818454E-2</c:v>
                </c:pt>
                <c:pt idx="20">
                  <c:v>-4.3532590093557338E-2</c:v>
                </c:pt>
                <c:pt idx="21">
                  <c:v>-4.3408850413603838E-2</c:v>
                </c:pt>
                <c:pt idx="22">
                  <c:v>-4.1908007843845324E-2</c:v>
                </c:pt>
                <c:pt idx="23">
                  <c:v>-4.1504855983351685E-2</c:v>
                </c:pt>
                <c:pt idx="24">
                  <c:v>-3.9892248541377108E-2</c:v>
                </c:pt>
                <c:pt idx="25">
                  <c:v>-3.8694767767633614E-2</c:v>
                </c:pt>
                <c:pt idx="26">
                  <c:v>-3.7078168723079896E-2</c:v>
                </c:pt>
                <c:pt idx="27">
                  <c:v>-3.6842664170910339E-2</c:v>
                </c:pt>
                <c:pt idx="29">
                  <c:v>-3.2411985308059402E-2</c:v>
                </c:pt>
                <c:pt idx="34">
                  <c:v>3.8327195599548031E-2</c:v>
                </c:pt>
                <c:pt idx="35">
                  <c:v>3.8327195599548031E-2</c:v>
                </c:pt>
                <c:pt idx="36">
                  <c:v>3.8450935279501525E-2</c:v>
                </c:pt>
                <c:pt idx="37">
                  <c:v>4.2534344717966854E-2</c:v>
                </c:pt>
                <c:pt idx="38">
                  <c:v>4.2534344717966854E-2</c:v>
                </c:pt>
                <c:pt idx="39">
                  <c:v>4.282573170624443E-2</c:v>
                </c:pt>
                <c:pt idx="40">
                  <c:v>4.4202834596049456E-2</c:v>
                </c:pt>
                <c:pt idx="41">
                  <c:v>4.4669852097809423E-2</c:v>
                </c:pt>
                <c:pt idx="42">
                  <c:v>4.4669852097809423E-2</c:v>
                </c:pt>
                <c:pt idx="43">
                  <c:v>4.7723428070855334E-2</c:v>
                </c:pt>
                <c:pt idx="44">
                  <c:v>4.9431833974729389E-2</c:v>
                </c:pt>
                <c:pt idx="45">
                  <c:v>5.2485409947775299E-2</c:v>
                </c:pt>
                <c:pt idx="46">
                  <c:v>5.5786465280728212E-2</c:v>
                </c:pt>
                <c:pt idx="47">
                  <c:v>5.6666613649429681E-2</c:v>
                </c:pt>
                <c:pt idx="48">
                  <c:v>5.6804323938410173E-2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66-4389-B545-C6AE0A579C80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Active!$S$2:$S$19</c:f>
              <c:numCache>
                <c:formatCode>General</c:formatCode>
                <c:ptCount val="18"/>
                <c:pt idx="0">
                  <c:v>17000</c:v>
                </c:pt>
                <c:pt idx="1">
                  <c:v>17250</c:v>
                </c:pt>
                <c:pt idx="2">
                  <c:v>17500</c:v>
                </c:pt>
                <c:pt idx="3">
                  <c:v>17750</c:v>
                </c:pt>
                <c:pt idx="4">
                  <c:v>18000</c:v>
                </c:pt>
                <c:pt idx="5">
                  <c:v>18250</c:v>
                </c:pt>
                <c:pt idx="6">
                  <c:v>18500</c:v>
                </c:pt>
                <c:pt idx="7">
                  <c:v>18750</c:v>
                </c:pt>
                <c:pt idx="8">
                  <c:v>19000</c:v>
                </c:pt>
                <c:pt idx="9">
                  <c:v>19250</c:v>
                </c:pt>
                <c:pt idx="10">
                  <c:v>19500</c:v>
                </c:pt>
                <c:pt idx="11">
                  <c:v>19750</c:v>
                </c:pt>
                <c:pt idx="12">
                  <c:v>20000</c:v>
                </c:pt>
                <c:pt idx="13">
                  <c:v>20250</c:v>
                </c:pt>
                <c:pt idx="14">
                  <c:v>20500</c:v>
                </c:pt>
                <c:pt idx="15">
                  <c:v>20750</c:v>
                </c:pt>
                <c:pt idx="16">
                  <c:v>21000</c:v>
                </c:pt>
                <c:pt idx="17">
                  <c:v>21250</c:v>
                </c:pt>
              </c:numCache>
            </c:numRef>
          </c:xVal>
          <c:yVal>
            <c:numRef>
              <c:f>Active!$T$2:$T$19</c:f>
              <c:numCache>
                <c:formatCode>0.00E+00</c:formatCode>
                <c:ptCount val="18"/>
                <c:pt idx="0">
                  <c:v>4.5738046113333208E-2</c:v>
                </c:pt>
                <c:pt idx="1">
                  <c:v>4.8472825331351332E-2</c:v>
                </c:pt>
                <c:pt idx="2">
                  <c:v>5.075831863601632E-2</c:v>
                </c:pt>
                <c:pt idx="3">
                  <c:v>5.259452602732817E-2</c:v>
                </c:pt>
                <c:pt idx="4">
                  <c:v>5.3981447505286884E-2</c:v>
                </c:pt>
                <c:pt idx="5">
                  <c:v>5.4919083069892904E-2</c:v>
                </c:pt>
                <c:pt idx="6">
                  <c:v>5.5407432721145344E-2</c:v>
                </c:pt>
                <c:pt idx="7">
                  <c:v>5.5446496459044869E-2</c:v>
                </c:pt>
                <c:pt idx="8">
                  <c:v>5.5036274283591036E-2</c:v>
                </c:pt>
                <c:pt idx="9">
                  <c:v>5.4176766194784065E-2</c:v>
                </c:pt>
                <c:pt idx="10">
                  <c:v>5.2867972192624624E-2</c:v>
                </c:pt>
                <c:pt idx="11">
                  <c:v>5.1109892277111379E-2</c:v>
                </c:pt>
                <c:pt idx="12">
                  <c:v>4.890252644824522E-2</c:v>
                </c:pt>
                <c:pt idx="13">
                  <c:v>4.6245874706025925E-2</c:v>
                </c:pt>
                <c:pt idx="14">
                  <c:v>4.3139937050453492E-2</c:v>
                </c:pt>
                <c:pt idx="15">
                  <c:v>3.9584713481528144E-2</c:v>
                </c:pt>
                <c:pt idx="16">
                  <c:v>3.5580203999249438E-2</c:v>
                </c:pt>
                <c:pt idx="17">
                  <c:v>3.1126408603617595E-2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66-4389-B545-C6AE0A579C8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-8250</c:v>
                </c:pt>
                <c:pt idx="1">
                  <c:v>-8249</c:v>
                </c:pt>
                <c:pt idx="2">
                  <c:v>-8247</c:v>
                </c:pt>
                <c:pt idx="3">
                  <c:v>-8191</c:v>
                </c:pt>
                <c:pt idx="4">
                  <c:v>-8162</c:v>
                </c:pt>
                <c:pt idx="5">
                  <c:v>-8161</c:v>
                </c:pt>
                <c:pt idx="6">
                  <c:v>-7992</c:v>
                </c:pt>
                <c:pt idx="7">
                  <c:v>-7991</c:v>
                </c:pt>
                <c:pt idx="8">
                  <c:v>-7484</c:v>
                </c:pt>
                <c:pt idx="9">
                  <c:v>-2784</c:v>
                </c:pt>
                <c:pt idx="10">
                  <c:v>-2709</c:v>
                </c:pt>
                <c:pt idx="11">
                  <c:v>-2510</c:v>
                </c:pt>
                <c:pt idx="12">
                  <c:v>-2496</c:v>
                </c:pt>
                <c:pt idx="13">
                  <c:v>-2409</c:v>
                </c:pt>
                <c:pt idx="14">
                  <c:v>-2408</c:v>
                </c:pt>
                <c:pt idx="15">
                  <c:v>-2062</c:v>
                </c:pt>
                <c:pt idx="16">
                  <c:v>-2004</c:v>
                </c:pt>
                <c:pt idx="17">
                  <c:v>-1961</c:v>
                </c:pt>
                <c:pt idx="18">
                  <c:v>-1960</c:v>
                </c:pt>
                <c:pt idx="19">
                  <c:v>-1932</c:v>
                </c:pt>
                <c:pt idx="20">
                  <c:v>-1676</c:v>
                </c:pt>
                <c:pt idx="21">
                  <c:v>-1645</c:v>
                </c:pt>
                <c:pt idx="22">
                  <c:v>-1269</c:v>
                </c:pt>
                <c:pt idx="23">
                  <c:v>-1168</c:v>
                </c:pt>
                <c:pt idx="24">
                  <c:v>-764</c:v>
                </c:pt>
                <c:pt idx="25">
                  <c:v>-464</c:v>
                </c:pt>
                <c:pt idx="26">
                  <c:v>-59</c:v>
                </c:pt>
                <c:pt idx="27">
                  <c:v>0</c:v>
                </c:pt>
                <c:pt idx="28">
                  <c:v>0</c:v>
                </c:pt>
                <c:pt idx="29">
                  <c:v>1110</c:v>
                </c:pt>
                <c:pt idx="30">
                  <c:v>11669</c:v>
                </c:pt>
                <c:pt idx="31">
                  <c:v>17665</c:v>
                </c:pt>
                <c:pt idx="32">
                  <c:v>17954</c:v>
                </c:pt>
                <c:pt idx="33">
                  <c:v>17955</c:v>
                </c:pt>
                <c:pt idx="34">
                  <c:v>18832</c:v>
                </c:pt>
                <c:pt idx="35">
                  <c:v>18832</c:v>
                </c:pt>
                <c:pt idx="36">
                  <c:v>18863</c:v>
                </c:pt>
                <c:pt idx="37">
                  <c:v>19886</c:v>
                </c:pt>
                <c:pt idx="38">
                  <c:v>19886</c:v>
                </c:pt>
                <c:pt idx="39">
                  <c:v>19959</c:v>
                </c:pt>
                <c:pt idx="40">
                  <c:v>20304</c:v>
                </c:pt>
                <c:pt idx="41">
                  <c:v>20421</c:v>
                </c:pt>
                <c:pt idx="42">
                  <c:v>20421</c:v>
                </c:pt>
                <c:pt idx="43">
                  <c:v>21186</c:v>
                </c:pt>
                <c:pt idx="44">
                  <c:v>21614</c:v>
                </c:pt>
                <c:pt idx="45">
                  <c:v>22379</c:v>
                </c:pt>
                <c:pt idx="46">
                  <c:v>23206</c:v>
                </c:pt>
                <c:pt idx="47">
                  <c:v>23426.5</c:v>
                </c:pt>
                <c:pt idx="48">
                  <c:v>23461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7">
                  <c:v>0.12256300000444753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B66-4389-B545-C6AE0A57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04904"/>
        <c:axId val="1"/>
      </c:scatterChart>
      <c:valAx>
        <c:axId val="636004904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296697816154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00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397914632651582E-2"/>
          <c:y val="0.92168674698795183"/>
          <c:w val="0.8969417711674928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0</xdr:row>
      <xdr:rowOff>0</xdr:rowOff>
    </xdr:from>
    <xdr:to>
      <xdr:col>26</xdr:col>
      <xdr:colOff>647700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5CEAF2C-E15D-7C33-A861-97D639A0A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17</xdr:col>
      <xdr:colOff>438150</xdr:colOff>
      <xdr:row>18</xdr:row>
      <xdr:rowOff>104774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CD61893-2D89-987D-4940-390E02155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502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10.7109375" customWidth="1"/>
    <col min="17" max="17" width="9.85546875" customWidth="1"/>
  </cols>
  <sheetData>
    <row r="1" spans="1:20" s="37" customFormat="1" ht="21" thickBot="1" x14ac:dyDescent="0.25">
      <c r="A1" s="67" t="s">
        <v>40</v>
      </c>
      <c r="S1" s="62" t="s">
        <v>10</v>
      </c>
      <c r="T1" s="62" t="s">
        <v>43</v>
      </c>
    </row>
    <row r="2" spans="1:20" s="37" customFormat="1" ht="12.95" customHeight="1" x14ac:dyDescent="0.2">
      <c r="A2" s="37" t="s">
        <v>24</v>
      </c>
      <c r="B2" s="38" t="s">
        <v>32</v>
      </c>
      <c r="S2" s="37">
        <v>17000</v>
      </c>
      <c r="T2" s="39">
        <f t="shared" ref="T2:T19" si="0">+D$11+D$12*S2+E$15*S2^2</f>
        <v>4.5738046113333208E-2</v>
      </c>
    </row>
    <row r="3" spans="1:20" s="37" customFormat="1" ht="12.95" customHeight="1" thickBot="1" x14ac:dyDescent="0.25">
      <c r="S3" s="37">
        <v>17250</v>
      </c>
      <c r="T3" s="39">
        <f t="shared" si="0"/>
        <v>4.8472825331351332E-2</v>
      </c>
    </row>
    <row r="4" spans="1:20" s="37" customFormat="1" ht="12.95" customHeight="1" thickTop="1" thickBot="1" x14ac:dyDescent="0.25">
      <c r="A4" s="40" t="s">
        <v>0</v>
      </c>
      <c r="C4" s="41">
        <v>35130.4018</v>
      </c>
      <c r="D4" s="42">
        <v>0.93065799999999999</v>
      </c>
      <c r="F4" s="43" t="str">
        <f>"F"&amp;B9</f>
        <v>F61</v>
      </c>
      <c r="G4" s="44" t="str">
        <f>"G"&amp;B9</f>
        <v>G61</v>
      </c>
      <c r="S4" s="37">
        <v>17500</v>
      </c>
      <c r="T4" s="39">
        <f t="shared" si="0"/>
        <v>5.075831863601632E-2</v>
      </c>
    </row>
    <row r="5" spans="1:20" s="37" customFormat="1" ht="12.95" customHeight="1" thickTop="1" x14ac:dyDescent="0.2">
      <c r="A5" s="45" t="s">
        <v>33</v>
      </c>
      <c r="C5" s="46">
        <v>-9.5</v>
      </c>
      <c r="D5" s="37" t="s">
        <v>34</v>
      </c>
      <c r="S5" s="37">
        <v>17750</v>
      </c>
      <c r="T5" s="39">
        <f t="shared" si="0"/>
        <v>5.259452602732817E-2</v>
      </c>
    </row>
    <row r="6" spans="1:20" s="37" customFormat="1" ht="12.95" customHeight="1" x14ac:dyDescent="0.2">
      <c r="A6" s="40" t="s">
        <v>1</v>
      </c>
      <c r="S6" s="37">
        <v>18000</v>
      </c>
      <c r="T6" s="39">
        <f t="shared" si="0"/>
        <v>5.3981447505286884E-2</v>
      </c>
    </row>
    <row r="7" spans="1:20" s="37" customFormat="1" ht="12.95" customHeight="1" x14ac:dyDescent="0.2">
      <c r="A7" s="37" t="s">
        <v>2</v>
      </c>
      <c r="C7" s="37">
        <f>+C4</f>
        <v>35130.4018</v>
      </c>
      <c r="S7" s="37">
        <v>18250</v>
      </c>
      <c r="T7" s="39">
        <f t="shared" si="0"/>
        <v>5.4919083069892904E-2</v>
      </c>
    </row>
    <row r="8" spans="1:20" s="37" customFormat="1" ht="12.95" customHeight="1" x14ac:dyDescent="0.2">
      <c r="A8" s="37" t="s">
        <v>3</v>
      </c>
      <c r="C8" s="37">
        <f>+D4</f>
        <v>0.93065799999999999</v>
      </c>
      <c r="S8" s="37">
        <v>18500</v>
      </c>
      <c r="T8" s="39">
        <f t="shared" si="0"/>
        <v>5.5407432721145344E-2</v>
      </c>
    </row>
    <row r="9" spans="1:20" s="37" customFormat="1" ht="12.95" customHeight="1" x14ac:dyDescent="0.2">
      <c r="A9" s="47" t="s">
        <v>41</v>
      </c>
      <c r="B9" s="48">
        <v>61</v>
      </c>
      <c r="C9" s="39">
        <v>0.1</v>
      </c>
      <c r="S9" s="37">
        <v>18750</v>
      </c>
      <c r="T9" s="39">
        <f t="shared" si="0"/>
        <v>5.5446496459044869E-2</v>
      </c>
    </row>
    <row r="10" spans="1:20" s="37" customFormat="1" ht="12.95" customHeight="1" thickBot="1" x14ac:dyDescent="0.25">
      <c r="C10" s="49" t="s">
        <v>20</v>
      </c>
      <c r="D10" s="49" t="s">
        <v>21</v>
      </c>
      <c r="S10" s="37">
        <v>19000</v>
      </c>
      <c r="T10" s="39">
        <f t="shared" si="0"/>
        <v>5.5036274283591036E-2</v>
      </c>
    </row>
    <row r="11" spans="1:20" s="37" customFormat="1" ht="12.95" customHeight="1" x14ac:dyDescent="0.2">
      <c r="A11" s="37" t="s">
        <v>16</v>
      </c>
      <c r="C11" s="44">
        <f ca="1">INTERCEPT(INDIRECT($G$4):G992,INDIRECT($F$4):F992)</f>
        <v>-3.6842664170910339E-2</v>
      </c>
      <c r="D11" s="50">
        <f>+E11*C9</f>
        <v>-1.1942516934383252</v>
      </c>
      <c r="E11" s="51">
        <v>-11.942516934383251</v>
      </c>
      <c r="S11" s="37">
        <v>19250</v>
      </c>
      <c r="T11" s="39">
        <f t="shared" si="0"/>
        <v>5.4176766194784065E-2</v>
      </c>
    </row>
    <row r="12" spans="1:20" s="37" customFormat="1" ht="12.95" customHeight="1" x14ac:dyDescent="0.2">
      <c r="A12" s="37" t="s">
        <v>17</v>
      </c>
      <c r="C12" s="44">
        <f ca="1">SLOPE(INDIRECT($G$4):G992,INDIRECT($F$4):F992)</f>
        <v>3.991602579144986E-6</v>
      </c>
      <c r="D12" s="50">
        <f>+E12*F12</f>
        <v>1.3404345713082791E-4</v>
      </c>
      <c r="E12" s="52">
        <v>13.40434571308279</v>
      </c>
      <c r="F12" s="39">
        <v>1.0000000000000001E-5</v>
      </c>
      <c r="S12" s="37">
        <v>19500</v>
      </c>
      <c r="T12" s="39">
        <f t="shared" si="0"/>
        <v>5.2867972192624624E-2</v>
      </c>
    </row>
    <row r="13" spans="1:20" s="37" customFormat="1" ht="12.95" customHeight="1" x14ac:dyDescent="0.2">
      <c r="A13" s="37" t="s">
        <v>19</v>
      </c>
      <c r="C13" s="53" t="s">
        <v>14</v>
      </c>
      <c r="F13" s="39">
        <v>1.0000000000000001E-9</v>
      </c>
      <c r="S13" s="37">
        <v>19750</v>
      </c>
      <c r="T13" s="39">
        <f t="shared" si="0"/>
        <v>5.1109892277111379E-2</v>
      </c>
    </row>
    <row r="14" spans="1:20" s="37" customFormat="1" ht="12.95" customHeight="1" x14ac:dyDescent="0.2">
      <c r="S14" s="37">
        <v>20000</v>
      </c>
      <c r="T14" s="39">
        <f t="shared" si="0"/>
        <v>4.890252644824522E-2</v>
      </c>
    </row>
    <row r="15" spans="1:20" s="37" customFormat="1" ht="12.95" customHeight="1" thickBot="1" x14ac:dyDescent="0.25">
      <c r="A15" s="54" t="s">
        <v>18</v>
      </c>
      <c r="C15" s="55">
        <f ca="1">(C7+C11)+(C8+C12)*INT(MAX(F21:F3533))</f>
        <v>56964.625942323939</v>
      </c>
      <c r="E15" s="50">
        <f>+F15*F13</f>
        <v>-3.5942873068249692E-9</v>
      </c>
      <c r="F15" s="56">
        <v>-3.594287306824969</v>
      </c>
      <c r="S15" s="37">
        <v>20250</v>
      </c>
      <c r="T15" s="39">
        <f t="shared" si="0"/>
        <v>4.6245874706025925E-2</v>
      </c>
    </row>
    <row r="16" spans="1:20" s="37" customFormat="1" ht="12.95" customHeight="1" x14ac:dyDescent="0.2">
      <c r="A16" s="40" t="s">
        <v>4</v>
      </c>
      <c r="C16" s="57">
        <f ca="1">+C8+C12</f>
        <v>0.93066199160257912</v>
      </c>
      <c r="F16" s="37">
        <f>SUM(R22:R30)</f>
        <v>52.799149486439219</v>
      </c>
      <c r="S16" s="37">
        <v>20500</v>
      </c>
      <c r="T16" s="39">
        <f t="shared" si="0"/>
        <v>4.3139937050453492E-2</v>
      </c>
    </row>
    <row r="17" spans="1:21" s="37" customFormat="1" ht="12.95" customHeight="1" thickBot="1" x14ac:dyDescent="0.25">
      <c r="A17" s="58" t="s">
        <v>37</v>
      </c>
      <c r="C17" s="37">
        <f>COUNT(C21:C2191)</f>
        <v>49</v>
      </c>
      <c r="E17" s="58" t="s">
        <v>35</v>
      </c>
      <c r="F17" s="59">
        <f ca="1">TODAY()+15018.5-B5/24</f>
        <v>60375.5</v>
      </c>
      <c r="S17" s="37">
        <v>20750</v>
      </c>
      <c r="T17" s="39">
        <f t="shared" si="0"/>
        <v>3.9584713481528144E-2</v>
      </c>
    </row>
    <row r="18" spans="1:21" s="37" customFormat="1" ht="12.95" customHeight="1" thickTop="1" thickBot="1" x14ac:dyDescent="0.25">
      <c r="A18" s="40" t="s">
        <v>5</v>
      </c>
      <c r="C18" s="41">
        <f ca="1">+C15</f>
        <v>56964.625942323939</v>
      </c>
      <c r="D18" s="42">
        <f ca="1">+C16</f>
        <v>0.93066199160257912</v>
      </c>
      <c r="E18" s="58" t="s">
        <v>36</v>
      </c>
      <c r="F18" s="59">
        <f ca="1">ROUND(2*(F17-C15)/C16,0)/2+1</f>
        <v>3666</v>
      </c>
      <c r="S18" s="37">
        <v>21000</v>
      </c>
      <c r="T18" s="39">
        <f t="shared" si="0"/>
        <v>3.5580203999249438E-2</v>
      </c>
    </row>
    <row r="19" spans="1:21" s="37" customFormat="1" ht="12.95" customHeight="1" thickTop="1" x14ac:dyDescent="0.2">
      <c r="E19" s="58" t="s">
        <v>38</v>
      </c>
      <c r="F19" s="60">
        <f ca="1">+C15+C16*F18-15018.5-C5/24</f>
        <v>45358.328636872327</v>
      </c>
      <c r="S19" s="37">
        <v>21250</v>
      </c>
      <c r="T19" s="39">
        <f t="shared" si="0"/>
        <v>3.1126408603617595E-2</v>
      </c>
    </row>
    <row r="20" spans="1:21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61" t="s">
        <v>12</v>
      </c>
      <c r="I20" s="61" t="s">
        <v>60</v>
      </c>
      <c r="J20" s="61" t="s">
        <v>54</v>
      </c>
      <c r="K20" s="61" t="s">
        <v>52</v>
      </c>
      <c r="L20" s="61" t="s">
        <v>25</v>
      </c>
      <c r="M20" s="61" t="s">
        <v>26</v>
      </c>
      <c r="N20" s="61" t="s">
        <v>27</v>
      </c>
      <c r="O20" s="61" t="s">
        <v>23</v>
      </c>
      <c r="P20" s="62" t="s">
        <v>22</v>
      </c>
      <c r="Q20" s="49" t="s">
        <v>15</v>
      </c>
      <c r="U20" s="63" t="s">
        <v>49</v>
      </c>
    </row>
    <row r="21" spans="1:21" s="37" customFormat="1" ht="12.95" customHeight="1" x14ac:dyDescent="0.2">
      <c r="A21" s="64" t="s">
        <v>66</v>
      </c>
      <c r="B21" s="65" t="s">
        <v>31</v>
      </c>
      <c r="C21" s="64">
        <v>27452.465</v>
      </c>
      <c r="D21" s="53"/>
      <c r="E21" s="37">
        <f t="shared" ref="E21:E52" si="1">+(C21-C$7)/C$8</f>
        <v>-8250.0089184211593</v>
      </c>
      <c r="F21" s="37">
        <f t="shared" ref="F21:F52" si="2">ROUND(2*E21,0)/2</f>
        <v>-8250</v>
      </c>
      <c r="G21" s="37">
        <f t="shared" ref="G21:G67" si="3">+C21-(C$7+F21*C$8)</f>
        <v>-8.2999999976891559E-3</v>
      </c>
      <c r="I21" s="37">
        <f>+G21</f>
        <v>-8.2999999976891559E-3</v>
      </c>
      <c r="O21" s="37">
        <f t="shared" ref="O21:O48" ca="1" si="4">+C$11+C$12*F21</f>
        <v>-6.9773385448856473E-2</v>
      </c>
      <c r="P21" s="39">
        <f t="shared" ref="P21:P48" si="5">+D$11+D$12*F21+E$15*F21^2</f>
        <v>-2.5447463945884299</v>
      </c>
      <c r="Q21" s="66">
        <f t="shared" ref="Q21:Q52" si="6">+C21-15018.5</f>
        <v>12433.965</v>
      </c>
      <c r="R21" s="37">
        <f t="shared" ref="R21:R48" si="7">+(P21-G21)^2</f>
        <v>6.4335603126323679</v>
      </c>
    </row>
    <row r="22" spans="1:21" s="37" customFormat="1" ht="12.95" customHeight="1" x14ac:dyDescent="0.2">
      <c r="A22" s="64" t="s">
        <v>66</v>
      </c>
      <c r="B22" s="65" t="s">
        <v>31</v>
      </c>
      <c r="C22" s="64">
        <v>27453.383000000002</v>
      </c>
      <c r="D22" s="53"/>
      <c r="E22" s="37">
        <f t="shared" si="1"/>
        <v>-8249.022519550681</v>
      </c>
      <c r="F22" s="37">
        <f t="shared" si="2"/>
        <v>-8249</v>
      </c>
      <c r="G22" s="37">
        <f t="shared" si="3"/>
        <v>-2.0957999997335719E-2</v>
      </c>
      <c r="I22" s="37">
        <f>+G22</f>
        <v>-2.0957999997335719E-2</v>
      </c>
      <c r="O22" s="37">
        <f t="shared" ca="1" si="4"/>
        <v>-6.9769393846277325E-2</v>
      </c>
      <c r="P22" s="39">
        <f t="shared" si="5"/>
        <v>-2.5445530489850237</v>
      </c>
      <c r="Q22" s="66">
        <f t="shared" si="6"/>
        <v>12434.883000000002</v>
      </c>
      <c r="R22" s="37">
        <f t="shared" si="7"/>
        <v>6.3685319712751713</v>
      </c>
    </row>
    <row r="23" spans="1:21" s="37" customFormat="1" ht="12.95" customHeight="1" x14ac:dyDescent="0.2">
      <c r="A23" s="64" t="s">
        <v>66</v>
      </c>
      <c r="B23" s="65" t="s">
        <v>31</v>
      </c>
      <c r="C23" s="64">
        <v>27455.277999999998</v>
      </c>
      <c r="D23" s="53"/>
      <c r="E23" s="37">
        <f t="shared" si="1"/>
        <v>-8246.9863258038949</v>
      </c>
      <c r="F23" s="37">
        <f t="shared" si="2"/>
        <v>-8247</v>
      </c>
      <c r="G23" s="37">
        <f t="shared" si="3"/>
        <v>1.2726000000839122E-2</v>
      </c>
      <c r="I23" s="37">
        <f>+G23</f>
        <v>1.2726000000839122E-2</v>
      </c>
      <c r="O23" s="37">
        <f t="shared" ca="1" si="4"/>
        <v>-6.9761410641119043E-2</v>
      </c>
      <c r="P23" s="39">
        <f t="shared" si="5"/>
        <v>-2.5441663793439355</v>
      </c>
      <c r="Q23" s="66">
        <f t="shared" si="6"/>
        <v>12436.777999999998</v>
      </c>
      <c r="R23" s="37">
        <f t="shared" si="7"/>
        <v>6.5376986395513832</v>
      </c>
    </row>
    <row r="24" spans="1:21" s="37" customFormat="1" ht="12.95" customHeight="1" x14ac:dyDescent="0.2">
      <c r="A24" s="64" t="s">
        <v>66</v>
      </c>
      <c r="B24" s="65" t="s">
        <v>31</v>
      </c>
      <c r="C24" s="64">
        <v>27507.395</v>
      </c>
      <c r="D24" s="53"/>
      <c r="E24" s="37">
        <f t="shared" si="1"/>
        <v>-8190.9861624785899</v>
      </c>
      <c r="F24" s="37">
        <f t="shared" si="2"/>
        <v>-8191</v>
      </c>
      <c r="G24" s="37">
        <f t="shared" si="3"/>
        <v>1.2878000001364853E-2</v>
      </c>
      <c r="I24" s="37">
        <f>+G24</f>
        <v>1.2878000001364853E-2</v>
      </c>
      <c r="O24" s="37">
        <f t="shared" ca="1" si="4"/>
        <v>-6.9537880896686916E-2</v>
      </c>
      <c r="P24" s="39">
        <f t="shared" si="5"/>
        <v>-2.5333513036386321</v>
      </c>
      <c r="Q24" s="66">
        <f t="shared" si="6"/>
        <v>12488.895</v>
      </c>
      <c r="R24" s="37">
        <f t="shared" si="7"/>
        <v>6.4832836667150238</v>
      </c>
    </row>
    <row r="25" spans="1:21" s="37" customFormat="1" ht="12.95" customHeight="1" x14ac:dyDescent="0.2">
      <c r="A25" s="64" t="s">
        <v>66</v>
      </c>
      <c r="B25" s="65" t="s">
        <v>31</v>
      </c>
      <c r="C25" s="64">
        <v>27534.382000000001</v>
      </c>
      <c r="D25" s="53"/>
      <c r="E25" s="37">
        <f t="shared" si="1"/>
        <v>-8161.9883996054386</v>
      </c>
      <c r="F25" s="37">
        <f t="shared" si="2"/>
        <v>-8162</v>
      </c>
      <c r="G25" s="37">
        <f t="shared" si="3"/>
        <v>1.0796000002301298E-2</v>
      </c>
      <c r="I25" s="37">
        <f>+G25</f>
        <v>1.0796000002301298E-2</v>
      </c>
      <c r="O25" s="37">
        <f t="shared" ca="1" si="4"/>
        <v>-6.9422124421891718E-2</v>
      </c>
      <c r="P25" s="39">
        <f t="shared" si="5"/>
        <v>-2.5277594993523111</v>
      </c>
      <c r="Q25" s="66">
        <f t="shared" si="6"/>
        <v>12515.882000000001</v>
      </c>
      <c r="R25" s="37">
        <f t="shared" si="7"/>
        <v>6.4442640233035453</v>
      </c>
    </row>
    <row r="26" spans="1:21" s="37" customFormat="1" ht="12.95" customHeight="1" x14ac:dyDescent="0.2">
      <c r="A26" s="64" t="s">
        <v>66</v>
      </c>
      <c r="B26" s="65" t="s">
        <v>31</v>
      </c>
      <c r="C26" s="64">
        <v>27535.286</v>
      </c>
      <c r="D26" s="53"/>
      <c r="E26" s="37">
        <f t="shared" si="1"/>
        <v>-8161.0170438549922</v>
      </c>
      <c r="F26" s="37">
        <f t="shared" si="2"/>
        <v>-8161</v>
      </c>
      <c r="G26" s="37">
        <f t="shared" si="3"/>
        <v>-1.586200000019744E-2</v>
      </c>
      <c r="I26" s="37">
        <f>+G26</f>
        <v>-1.586200000019744E-2</v>
      </c>
      <c r="O26" s="37">
        <f t="shared" ca="1" si="4"/>
        <v>-6.941813281931257E-2</v>
      </c>
      <c r="P26" s="39">
        <f t="shared" si="5"/>
        <v>-2.527566786343471</v>
      </c>
      <c r="Q26" s="66">
        <f t="shared" si="6"/>
        <v>12516.786</v>
      </c>
      <c r="R26" s="37">
        <f t="shared" si="7"/>
        <v>6.3086609337397093</v>
      </c>
    </row>
    <row r="27" spans="1:21" s="37" customFormat="1" ht="12.95" customHeight="1" x14ac:dyDescent="0.2">
      <c r="A27" s="64" t="s">
        <v>66</v>
      </c>
      <c r="B27" s="65" t="s">
        <v>31</v>
      </c>
      <c r="C27" s="64">
        <v>27692.561000000002</v>
      </c>
      <c r="D27" s="53"/>
      <c r="E27" s="37">
        <f t="shared" si="1"/>
        <v>-7992.0237079571643</v>
      </c>
      <c r="F27" s="37">
        <f t="shared" si="2"/>
        <v>-7992</v>
      </c>
      <c r="G27" s="37">
        <f t="shared" si="3"/>
        <v>-2.2063999997044448E-2</v>
      </c>
      <c r="I27" s="37">
        <f>+G27</f>
        <v>-2.2063999997044448E-2</v>
      </c>
      <c r="O27" s="37">
        <f t="shared" ca="1" si="4"/>
        <v>-6.8743551983437068E-2</v>
      </c>
      <c r="P27" s="39">
        <f t="shared" si="5"/>
        <v>-2.4951015517238142</v>
      </c>
      <c r="Q27" s="66">
        <f t="shared" si="6"/>
        <v>12674.061000000002</v>
      </c>
      <c r="R27" s="37">
        <f t="shared" si="7"/>
        <v>6.1159147322507357</v>
      </c>
    </row>
    <row r="28" spans="1:21" s="37" customFormat="1" ht="12.95" customHeight="1" x14ac:dyDescent="0.2">
      <c r="A28" s="64" t="s">
        <v>66</v>
      </c>
      <c r="B28" s="65" t="s">
        <v>31</v>
      </c>
      <c r="C28" s="64">
        <v>27693.504000000001</v>
      </c>
      <c r="D28" s="53"/>
      <c r="E28" s="37">
        <f t="shared" si="1"/>
        <v>-7991.0104463723501</v>
      </c>
      <c r="F28" s="37">
        <f t="shared" si="2"/>
        <v>-7991</v>
      </c>
      <c r="G28" s="37">
        <f t="shared" si="3"/>
        <v>-9.7219999988737982E-3</v>
      </c>
      <c r="I28" s="37">
        <f>+G28</f>
        <v>-9.7219999988737982E-3</v>
      </c>
      <c r="O28" s="37">
        <f t="shared" ca="1" si="4"/>
        <v>-6.873956038085792E-2</v>
      </c>
      <c r="P28" s="39">
        <f t="shared" si="5"/>
        <v>-2.494910060772658</v>
      </c>
      <c r="Q28" s="66">
        <f t="shared" si="6"/>
        <v>12675.004000000001</v>
      </c>
      <c r="R28" s="37">
        <f t="shared" si="7"/>
        <v>6.1761596974125617</v>
      </c>
    </row>
    <row r="29" spans="1:21" s="37" customFormat="1" ht="12.95" customHeight="1" x14ac:dyDescent="0.2">
      <c r="A29" s="64" t="s">
        <v>66</v>
      </c>
      <c r="B29" s="65" t="s">
        <v>31</v>
      </c>
      <c r="C29" s="64">
        <v>28165.344000000001</v>
      </c>
      <c r="D29" s="53"/>
      <c r="E29" s="37">
        <f t="shared" si="1"/>
        <v>-7484.0143210502665</v>
      </c>
      <c r="F29" s="37">
        <f t="shared" si="2"/>
        <v>-7484</v>
      </c>
      <c r="G29" s="37">
        <f t="shared" si="3"/>
        <v>-1.3327999997272855E-2</v>
      </c>
      <c r="I29" s="37">
        <f>+G29</f>
        <v>-1.3327999997272855E-2</v>
      </c>
      <c r="O29" s="37">
        <f t="shared" ca="1" si="4"/>
        <v>-6.6715817873231414E-2</v>
      </c>
      <c r="P29" s="39">
        <f t="shared" si="5"/>
        <v>-2.3987498787982582</v>
      </c>
      <c r="Q29" s="66">
        <f t="shared" si="6"/>
        <v>13146.844000000001</v>
      </c>
      <c r="R29" s="37">
        <f t="shared" si="7"/>
        <v>5.690237539862423</v>
      </c>
    </row>
    <row r="30" spans="1:21" s="37" customFormat="1" ht="12.95" customHeight="1" x14ac:dyDescent="0.2">
      <c r="A30" s="64" t="s">
        <v>94</v>
      </c>
      <c r="B30" s="65" t="s">
        <v>31</v>
      </c>
      <c r="C30" s="64">
        <v>32539.49</v>
      </c>
      <c r="D30" s="53"/>
      <c r="E30" s="37">
        <f t="shared" si="1"/>
        <v>-2783.9569422924405</v>
      </c>
      <c r="F30" s="37">
        <f t="shared" si="2"/>
        <v>-2784</v>
      </c>
      <c r="G30" s="37">
        <f t="shared" si="3"/>
        <v>4.0072000003419816E-2</v>
      </c>
      <c r="I30" s="37">
        <f>+G30</f>
        <v>4.0072000003419816E-2</v>
      </c>
      <c r="O30" s="37">
        <f t="shared" ca="1" si="4"/>
        <v>-4.7955285751249979E-2</v>
      </c>
      <c r="P30" s="39">
        <f t="shared" si="5"/>
        <v>-1.5952867625709168</v>
      </c>
      <c r="Q30" s="66">
        <f t="shared" si="6"/>
        <v>17520.990000000002</v>
      </c>
      <c r="R30" s="37">
        <f t="shared" si="7"/>
        <v>2.6743982823286654</v>
      </c>
    </row>
    <row r="31" spans="1:21" x14ac:dyDescent="0.2">
      <c r="A31" s="35" t="s">
        <v>66</v>
      </c>
      <c r="B31" s="36" t="s">
        <v>31</v>
      </c>
      <c r="C31" s="35">
        <v>32609.275000000001</v>
      </c>
      <c r="D31" s="2"/>
      <c r="E31">
        <f t="shared" si="1"/>
        <v>-2708.9723614904706</v>
      </c>
      <c r="F31">
        <f t="shared" si="2"/>
        <v>-2709</v>
      </c>
      <c r="G31">
        <f t="shared" si="3"/>
        <v>2.5722000002133427E-2</v>
      </c>
      <c r="I31">
        <f>+G31</f>
        <v>2.5722000002133427E-2</v>
      </c>
      <c r="O31">
        <f t="shared" ca="1" si="4"/>
        <v>-4.7655915557814107E-2</v>
      </c>
      <c r="P31" s="6">
        <f t="shared" si="5"/>
        <v>-1.5837527467728756</v>
      </c>
      <c r="Q31" s="1">
        <f t="shared" si="6"/>
        <v>17590.775000000001</v>
      </c>
      <c r="R31">
        <f t="shared" si="7"/>
        <v>2.5904089605064793</v>
      </c>
    </row>
    <row r="32" spans="1:21" x14ac:dyDescent="0.2">
      <c r="A32" s="35" t="s">
        <v>66</v>
      </c>
      <c r="B32" s="36" t="s">
        <v>31</v>
      </c>
      <c r="C32" s="35">
        <v>32794.474000000002</v>
      </c>
      <c r="D32" s="2"/>
      <c r="E32">
        <f t="shared" si="1"/>
        <v>-2509.9744481861194</v>
      </c>
      <c r="F32">
        <f t="shared" si="2"/>
        <v>-2510</v>
      </c>
      <c r="G32">
        <f t="shared" si="3"/>
        <v>2.3780000003171153E-2</v>
      </c>
      <c r="I32">
        <f>+G32</f>
        <v>2.3780000003171153E-2</v>
      </c>
      <c r="O32">
        <f t="shared" ca="1" si="4"/>
        <v>-4.6861586644564253E-2</v>
      </c>
      <c r="P32" s="6">
        <f t="shared" si="5"/>
        <v>-1.5533451402984313</v>
      </c>
      <c r="Q32" s="1">
        <f t="shared" si="6"/>
        <v>17775.974000000002</v>
      </c>
      <c r="R32">
        <f t="shared" si="7"/>
        <v>2.4873237081713491</v>
      </c>
    </row>
    <row r="33" spans="1:18" x14ac:dyDescent="0.2">
      <c r="A33" s="35" t="s">
        <v>104</v>
      </c>
      <c r="B33" s="36" t="s">
        <v>31</v>
      </c>
      <c r="C33" s="35">
        <v>32807.506000000001</v>
      </c>
      <c r="E33">
        <f t="shared" si="1"/>
        <v>-2495.9714524562173</v>
      </c>
      <c r="F33">
        <f t="shared" si="2"/>
        <v>-2496</v>
      </c>
      <c r="G33">
        <f t="shared" si="3"/>
        <v>2.6568000001134351E-2</v>
      </c>
      <c r="I33">
        <f>+G33</f>
        <v>2.6568000001134351E-2</v>
      </c>
      <c r="O33">
        <f t="shared" ca="1" si="4"/>
        <v>-4.6805704208456221E-2</v>
      </c>
      <c r="P33" s="6">
        <f t="shared" si="5"/>
        <v>-1.5512166298669881</v>
      </c>
      <c r="Q33" s="1">
        <f t="shared" si="6"/>
        <v>17789.006000000001</v>
      </c>
      <c r="R33">
        <f t="shared" si="7"/>
        <v>2.4894043382480882</v>
      </c>
    </row>
    <row r="34" spans="1:18" x14ac:dyDescent="0.2">
      <c r="A34" s="35" t="s">
        <v>66</v>
      </c>
      <c r="B34" s="36" t="s">
        <v>31</v>
      </c>
      <c r="C34" s="35">
        <v>32888.449000000001</v>
      </c>
      <c r="E34">
        <f t="shared" si="1"/>
        <v>-2408.9975049910913</v>
      </c>
      <c r="F34">
        <f t="shared" si="2"/>
        <v>-2409</v>
      </c>
      <c r="G34">
        <f t="shared" si="3"/>
        <v>2.3220000002766028E-3</v>
      </c>
      <c r="I34">
        <f>+G34</f>
        <v>2.3220000002766028E-3</v>
      </c>
      <c r="O34">
        <f t="shared" ca="1" si="4"/>
        <v>-4.6458434784070607E-2</v>
      </c>
      <c r="P34" s="6">
        <f t="shared" si="5"/>
        <v>-1.5380210409027282</v>
      </c>
      <c r="Q34" s="1">
        <f t="shared" si="6"/>
        <v>17869.949000000001</v>
      </c>
      <c r="R34">
        <f t="shared" si="7"/>
        <v>2.3726566836583158</v>
      </c>
    </row>
    <row r="35" spans="1:18" x14ac:dyDescent="0.2">
      <c r="A35" s="35" t="s">
        <v>104</v>
      </c>
      <c r="B35" s="36" t="s">
        <v>31</v>
      </c>
      <c r="C35" s="35">
        <v>32889.385000000002</v>
      </c>
      <c r="E35">
        <f t="shared" si="1"/>
        <v>-2407.9917649662902</v>
      </c>
      <c r="F35">
        <f t="shared" si="2"/>
        <v>-2408</v>
      </c>
      <c r="G35">
        <f t="shared" si="3"/>
        <v>7.6640000042971224E-3</v>
      </c>
      <c r="I35">
        <f>+G35</f>
        <v>7.6640000042971224E-3</v>
      </c>
      <c r="O35">
        <f t="shared" ca="1" si="4"/>
        <v>-4.6454443181491466E-2</v>
      </c>
      <c r="P35" s="6">
        <f t="shared" si="5"/>
        <v>-1.5378696837636403</v>
      </c>
      <c r="Q35" s="1">
        <f t="shared" si="6"/>
        <v>17870.885000000002</v>
      </c>
      <c r="R35">
        <f t="shared" si="7"/>
        <v>2.3886743676612907</v>
      </c>
    </row>
    <row r="36" spans="1:18" x14ac:dyDescent="0.2">
      <c r="A36" s="35" t="s">
        <v>114</v>
      </c>
      <c r="B36" s="36" t="s">
        <v>31</v>
      </c>
      <c r="C36" s="35">
        <v>33211.377999999997</v>
      </c>
      <c r="E36">
        <f t="shared" si="1"/>
        <v>-2062.0075258580518</v>
      </c>
      <c r="F36">
        <f t="shared" si="2"/>
        <v>-2062</v>
      </c>
      <c r="G36">
        <f t="shared" si="3"/>
        <v>-7.0039999991422519E-3</v>
      </c>
      <c r="I36">
        <f>+G36</f>
        <v>-7.0039999991422519E-3</v>
      </c>
      <c r="O36">
        <f t="shared" ca="1" si="4"/>
        <v>-4.5073348689107298E-2</v>
      </c>
      <c r="P36" s="6">
        <f t="shared" si="5"/>
        <v>-1.4859316509618923</v>
      </c>
      <c r="Q36" s="1">
        <f t="shared" si="6"/>
        <v>18192.877999999997</v>
      </c>
      <c r="R36">
        <f t="shared" si="7"/>
        <v>2.1872269967821976</v>
      </c>
    </row>
    <row r="37" spans="1:18" x14ac:dyDescent="0.2">
      <c r="A37" s="35" t="s">
        <v>66</v>
      </c>
      <c r="B37" s="36" t="s">
        <v>31</v>
      </c>
      <c r="C37" s="35">
        <v>33265.366999999998</v>
      </c>
      <c r="E37">
        <f t="shared" si="1"/>
        <v>-2003.9958824831476</v>
      </c>
      <c r="F37">
        <f t="shared" si="2"/>
        <v>-2004</v>
      </c>
      <c r="G37">
        <f t="shared" si="3"/>
        <v>3.8320000021485612E-3</v>
      </c>
      <c r="I37">
        <f>+G37</f>
        <v>3.8320000021485612E-3</v>
      </c>
      <c r="O37">
        <f t="shared" ca="1" si="4"/>
        <v>-4.4841835739516889E-2</v>
      </c>
      <c r="P37" s="6">
        <f t="shared" si="5"/>
        <v>-1.4773094968613103</v>
      </c>
      <c r="Q37" s="1">
        <f t="shared" si="6"/>
        <v>18246.866999999998</v>
      </c>
      <c r="R37">
        <f t="shared" si="7"/>
        <v>2.1937801337309275</v>
      </c>
    </row>
    <row r="38" spans="1:18" x14ac:dyDescent="0.2">
      <c r="A38" s="35" t="s">
        <v>66</v>
      </c>
      <c r="B38" s="36" t="s">
        <v>31</v>
      </c>
      <c r="C38" s="35">
        <v>33305.368000000002</v>
      </c>
      <c r="E38">
        <f t="shared" si="1"/>
        <v>-1961.0144650344139</v>
      </c>
      <c r="F38">
        <f t="shared" si="2"/>
        <v>-1961</v>
      </c>
      <c r="G38">
        <f t="shared" si="3"/>
        <v>-1.3461999995342921E-2</v>
      </c>
      <c r="I38">
        <f>+G38</f>
        <v>-1.3461999995342921E-2</v>
      </c>
      <c r="O38">
        <f t="shared" ca="1" si="4"/>
        <v>-4.4670196828613659E-2</v>
      </c>
      <c r="P38" s="6">
        <f t="shared" si="5"/>
        <v>-1.4709328201903076</v>
      </c>
      <c r="Q38" s="1">
        <f t="shared" si="6"/>
        <v>18286.868000000002</v>
      </c>
      <c r="R38">
        <f t="shared" si="7"/>
        <v>2.1242211917197831</v>
      </c>
    </row>
    <row r="39" spans="1:18" x14ac:dyDescent="0.2">
      <c r="A39" s="35" t="s">
        <v>122</v>
      </c>
      <c r="B39" s="36" t="s">
        <v>31</v>
      </c>
      <c r="C39" s="35">
        <v>33306.305</v>
      </c>
      <c r="E39">
        <f t="shared" si="1"/>
        <v>-1960.0076505010427</v>
      </c>
      <c r="F39">
        <f t="shared" si="2"/>
        <v>-1960</v>
      </c>
      <c r="G39">
        <f t="shared" si="3"/>
        <v>-7.1200000020326115E-3</v>
      </c>
      <c r="I39">
        <f>+G39</f>
        <v>-7.1200000020326115E-3</v>
      </c>
      <c r="O39">
        <f t="shared" ca="1" si="4"/>
        <v>-4.4666205226034511E-2</v>
      </c>
      <c r="P39" s="6">
        <f t="shared" si="5"/>
        <v>-1.4707846835326466</v>
      </c>
      <c r="Q39" s="1">
        <f t="shared" si="6"/>
        <v>18287.805</v>
      </c>
      <c r="R39">
        <f t="shared" si="7"/>
        <v>2.1423143058147724</v>
      </c>
    </row>
    <row r="40" spans="1:18" x14ac:dyDescent="0.2">
      <c r="A40" s="35" t="s">
        <v>66</v>
      </c>
      <c r="B40" s="36" t="s">
        <v>31</v>
      </c>
      <c r="C40" s="35">
        <v>33332.362000000001</v>
      </c>
      <c r="E40">
        <f t="shared" si="1"/>
        <v>-1932.0091806012506</v>
      </c>
      <c r="F40">
        <f t="shared" si="2"/>
        <v>-1932</v>
      </c>
      <c r="G40">
        <f t="shared" si="3"/>
        <v>-8.5439999966183677E-3</v>
      </c>
      <c r="I40">
        <f>+G40</f>
        <v>-8.5439999966183677E-3</v>
      </c>
      <c r="O40">
        <f t="shared" ca="1" si="4"/>
        <v>-4.4554440353818454E-2</v>
      </c>
      <c r="P40" s="6">
        <f t="shared" si="5"/>
        <v>-1.4666397756794347</v>
      </c>
      <c r="Q40" s="1">
        <f t="shared" si="6"/>
        <v>18313.862000000001</v>
      </c>
      <c r="R40">
        <f t="shared" si="7"/>
        <v>2.1260432910640739</v>
      </c>
    </row>
    <row r="41" spans="1:18" x14ac:dyDescent="0.2">
      <c r="A41" s="35" t="s">
        <v>66</v>
      </c>
      <c r="B41" s="36" t="s">
        <v>31</v>
      </c>
      <c r="C41" s="35">
        <v>33570.618999999999</v>
      </c>
      <c r="E41">
        <f t="shared" si="1"/>
        <v>-1675.9999914039324</v>
      </c>
      <c r="F41">
        <f t="shared" si="2"/>
        <v>-1676</v>
      </c>
      <c r="G41">
        <f t="shared" si="3"/>
        <v>7.9999954323284328E-6</v>
      </c>
      <c r="I41">
        <f>+G41</f>
        <v>7.9999954323284328E-6</v>
      </c>
      <c r="O41">
        <f t="shared" ca="1" si="4"/>
        <v>-4.3532590093557338E-2</v>
      </c>
      <c r="P41" s="6">
        <f t="shared" si="5"/>
        <v>-1.4290047943715687</v>
      </c>
      <c r="Q41" s="1">
        <f t="shared" si="6"/>
        <v>18552.118999999999</v>
      </c>
      <c r="R41">
        <f t="shared" si="7"/>
        <v>2.0420775664645849</v>
      </c>
    </row>
    <row r="42" spans="1:18" x14ac:dyDescent="0.2">
      <c r="A42" s="35" t="s">
        <v>122</v>
      </c>
      <c r="B42" s="36" t="s">
        <v>31</v>
      </c>
      <c r="C42" s="35">
        <v>33599.47</v>
      </c>
      <c r="E42">
        <f t="shared" si="1"/>
        <v>-1644.9993445497685</v>
      </c>
      <c r="F42">
        <f t="shared" si="2"/>
        <v>-1645</v>
      </c>
      <c r="G42">
        <f t="shared" si="3"/>
        <v>6.1000000277999789E-4</v>
      </c>
      <c r="I42">
        <f>+G42</f>
        <v>6.1000000277999789E-4</v>
      </c>
      <c r="O42">
        <f t="shared" ca="1" si="4"/>
        <v>-4.3408850413603838E-2</v>
      </c>
      <c r="P42" s="6">
        <f t="shared" si="5"/>
        <v>-1.4244794117279882</v>
      </c>
      <c r="Q42" s="1">
        <f t="shared" si="6"/>
        <v>18580.97</v>
      </c>
      <c r="R42">
        <f t="shared" si="7"/>
        <v>2.0308798314271468</v>
      </c>
    </row>
    <row r="43" spans="1:18" x14ac:dyDescent="0.2">
      <c r="A43" s="35" t="s">
        <v>135</v>
      </c>
      <c r="B43" s="36" t="s">
        <v>31</v>
      </c>
      <c r="C43" s="35">
        <v>33949.379000000001</v>
      </c>
      <c r="E43">
        <f t="shared" si="1"/>
        <v>-1269.01912410359</v>
      </c>
      <c r="F43">
        <f t="shared" si="2"/>
        <v>-1269</v>
      </c>
      <c r="G43">
        <f t="shared" si="3"/>
        <v>-1.7798000000766478E-2</v>
      </c>
      <c r="I43">
        <f>+G43</f>
        <v>-1.7798000000766478E-2</v>
      </c>
      <c r="O43">
        <f t="shared" ca="1" si="4"/>
        <v>-4.1908007843845324E-2</v>
      </c>
      <c r="P43" s="6">
        <f t="shared" si="5"/>
        <v>-1.3701409406390517</v>
      </c>
      <c r="Q43" s="1">
        <f t="shared" si="6"/>
        <v>18930.879000000001</v>
      </c>
      <c r="R43">
        <f t="shared" si="7"/>
        <v>1.8288314290942045</v>
      </c>
    </row>
    <row r="44" spans="1:18" x14ac:dyDescent="0.2">
      <c r="A44" s="35" t="s">
        <v>66</v>
      </c>
      <c r="B44" s="36" t="s">
        <v>31</v>
      </c>
      <c r="C44" s="35">
        <v>34043.375</v>
      </c>
      <c r="E44">
        <f t="shared" si="1"/>
        <v>-1168.0196162285174</v>
      </c>
      <c r="F44">
        <f t="shared" si="2"/>
        <v>-1168</v>
      </c>
      <c r="G44">
        <f t="shared" si="3"/>
        <v>-1.8256000003020745E-2</v>
      </c>
      <c r="I44">
        <f>+G44</f>
        <v>-1.8256000003020745E-2</v>
      </c>
      <c r="O44">
        <f t="shared" ca="1" si="4"/>
        <v>-4.1504855983351685E-2</v>
      </c>
      <c r="P44" s="6">
        <f t="shared" si="5"/>
        <v>-1.355717864373998</v>
      </c>
      <c r="Q44" s="1">
        <f t="shared" si="6"/>
        <v>19024.875</v>
      </c>
      <c r="R44">
        <f t="shared" si="7"/>
        <v>1.7888042386466902</v>
      </c>
    </row>
    <row r="45" spans="1:18" x14ac:dyDescent="0.2">
      <c r="A45" s="35" t="s">
        <v>140</v>
      </c>
      <c r="B45" s="36" t="s">
        <v>31</v>
      </c>
      <c r="C45" s="35">
        <v>34419.379999999997</v>
      </c>
      <c r="E45">
        <f t="shared" si="1"/>
        <v>-763.99902004818341</v>
      </c>
      <c r="F45">
        <f t="shared" si="2"/>
        <v>-764</v>
      </c>
      <c r="G45">
        <f t="shared" si="3"/>
        <v>9.1199999587843195E-4</v>
      </c>
      <c r="I45">
        <f>+G45</f>
        <v>9.1199999587843195E-4</v>
      </c>
      <c r="O45">
        <f t="shared" ca="1" si="4"/>
        <v>-3.9892248541377108E-2</v>
      </c>
      <c r="P45" s="6">
        <f t="shared" si="5"/>
        <v>-1.2987588658101221</v>
      </c>
      <c r="Q45" s="1">
        <f t="shared" si="6"/>
        <v>19400.879999999997</v>
      </c>
      <c r="R45">
        <f t="shared" si="7"/>
        <v>1.6891443594249191</v>
      </c>
    </row>
    <row r="46" spans="1:18" x14ac:dyDescent="0.2">
      <c r="A46" s="35" t="s">
        <v>140</v>
      </c>
      <c r="B46" s="36" t="s">
        <v>31</v>
      </c>
      <c r="C46" s="35">
        <v>34698.546000000002</v>
      </c>
      <c r="E46">
        <f t="shared" si="1"/>
        <v>-464.03275961738638</v>
      </c>
      <c r="F46">
        <f t="shared" si="2"/>
        <v>-464</v>
      </c>
      <c r="G46">
        <f t="shared" si="3"/>
        <v>-3.0487999996694271E-2</v>
      </c>
      <c r="I46">
        <f>+G46</f>
        <v>-3.0487999996694271E-2</v>
      </c>
      <c r="O46">
        <f t="shared" ca="1" si="4"/>
        <v>-3.8694767767633614E-2</v>
      </c>
      <c r="P46" s="6">
        <f t="shared" si="5"/>
        <v>-1.2572216932270395</v>
      </c>
      <c r="Q46" s="1">
        <f t="shared" si="6"/>
        <v>19680.046000000002</v>
      </c>
      <c r="R46">
        <f t="shared" si="7"/>
        <v>1.5048755541065626</v>
      </c>
    </row>
    <row r="47" spans="1:18" x14ac:dyDescent="0.2">
      <c r="A47" s="35" t="s">
        <v>147</v>
      </c>
      <c r="B47" s="36" t="s">
        <v>31</v>
      </c>
      <c r="C47" s="35">
        <v>35075.502999999997</v>
      </c>
      <c r="E47">
        <f t="shared" si="1"/>
        <v>-58.989231275079206</v>
      </c>
      <c r="F47">
        <f t="shared" si="2"/>
        <v>-59</v>
      </c>
      <c r="G47">
        <f t="shared" si="3"/>
        <v>1.002199999493314E-2</v>
      </c>
      <c r="I47">
        <f>+G47</f>
        <v>1.002199999493314E-2</v>
      </c>
      <c r="O47">
        <f t="shared" ca="1" si="4"/>
        <v>-3.7078168723079896E-2</v>
      </c>
      <c r="P47" s="6">
        <f t="shared" si="5"/>
        <v>-1.202172769123159</v>
      </c>
      <c r="Q47" s="1">
        <f t="shared" si="6"/>
        <v>20057.002999999997</v>
      </c>
      <c r="R47">
        <f t="shared" si="7"/>
        <v>1.4694161582772647</v>
      </c>
    </row>
    <row r="48" spans="1:18" x14ac:dyDescent="0.2">
      <c r="A48" s="35" t="s">
        <v>147</v>
      </c>
      <c r="B48" s="36" t="s">
        <v>31</v>
      </c>
      <c r="C48" s="35">
        <v>35130.387999999999</v>
      </c>
      <c r="E48">
        <f t="shared" si="1"/>
        <v>-1.4828218315029413E-2</v>
      </c>
      <c r="F48">
        <f t="shared" si="2"/>
        <v>0</v>
      </c>
      <c r="G48">
        <f t="shared" si="3"/>
        <v>-1.3800000000628643E-2</v>
      </c>
      <c r="I48">
        <f>+G48</f>
        <v>-1.3800000000628643E-2</v>
      </c>
      <c r="O48">
        <f t="shared" ca="1" si="4"/>
        <v>-3.6842664170910339E-2</v>
      </c>
      <c r="P48" s="6">
        <f t="shared" si="5"/>
        <v>-1.1942516934383252</v>
      </c>
      <c r="Q48" s="1">
        <f t="shared" si="6"/>
        <v>20111.887999999999</v>
      </c>
      <c r="R48">
        <f t="shared" si="7"/>
        <v>1.3934662005399254</v>
      </c>
    </row>
    <row r="49" spans="1:18" x14ac:dyDescent="0.2">
      <c r="A49" t="s">
        <v>12</v>
      </c>
      <c r="C49" s="5">
        <v>35130.4018</v>
      </c>
      <c r="D49" s="5" t="s">
        <v>14</v>
      </c>
      <c r="E49">
        <f t="shared" si="1"/>
        <v>0</v>
      </c>
      <c r="F49">
        <f t="shared" si="2"/>
        <v>0</v>
      </c>
      <c r="G49">
        <f t="shared" si="3"/>
        <v>0</v>
      </c>
      <c r="H49">
        <f>+G49</f>
        <v>0</v>
      </c>
      <c r="P49" s="6"/>
      <c r="Q49" s="1">
        <f t="shared" si="6"/>
        <v>20111.9018</v>
      </c>
    </row>
    <row r="50" spans="1:18" x14ac:dyDescent="0.2">
      <c r="A50" s="35" t="s">
        <v>153</v>
      </c>
      <c r="B50" s="36" t="s">
        <v>31</v>
      </c>
      <c r="C50" s="35">
        <v>36163.436000000002</v>
      </c>
      <c r="E50">
        <f t="shared" si="1"/>
        <v>1110.0041046227527</v>
      </c>
      <c r="F50">
        <f t="shared" si="2"/>
        <v>1110</v>
      </c>
      <c r="G50">
        <f t="shared" si="3"/>
        <v>3.8200000053620897E-3</v>
      </c>
      <c r="I50">
        <f>+G50</f>
        <v>3.8200000053620897E-3</v>
      </c>
      <c r="O50">
        <f ca="1">+C$11+C$12*F50</f>
        <v>-3.2411985308059402E-2</v>
      </c>
      <c r="P50" s="6">
        <f t="shared" ref="P50:P69" si="8">+D$11+D$12*F50+E$15*F50^2</f>
        <v>-1.0498919774138453</v>
      </c>
      <c r="Q50" s="1">
        <f t="shared" si="6"/>
        <v>21144.936000000002</v>
      </c>
      <c r="R50">
        <f t="shared" ref="R50:R67" si="9">+(P50-G50)^2</f>
        <v>1.1103089313566963</v>
      </c>
    </row>
    <row r="51" spans="1:18" x14ac:dyDescent="0.2">
      <c r="A51" s="3" t="s">
        <v>39</v>
      </c>
      <c r="B51" s="7" t="s">
        <v>31</v>
      </c>
      <c r="C51" s="8">
        <v>45990.305</v>
      </c>
      <c r="D51" s="3">
        <v>2E-3</v>
      </c>
      <c r="E51">
        <f t="shared" si="1"/>
        <v>11669.059095822526</v>
      </c>
      <c r="F51">
        <f t="shared" si="2"/>
        <v>11669</v>
      </c>
      <c r="G51">
        <f t="shared" si="3"/>
        <v>5.4997999999613967E-2</v>
      </c>
      <c r="K51">
        <f>+G51</f>
        <v>5.4997999999613967E-2</v>
      </c>
      <c r="P51" s="6">
        <f t="shared" si="8"/>
        <v>-0.11951673970769539</v>
      </c>
      <c r="Q51" s="1">
        <f t="shared" si="6"/>
        <v>30971.805</v>
      </c>
      <c r="R51">
        <f t="shared" si="9"/>
        <v>3.0455394375109936E-2</v>
      </c>
    </row>
    <row r="52" spans="1:18" x14ac:dyDescent="0.2">
      <c r="A52" s="3" t="s">
        <v>30</v>
      </c>
      <c r="B52" s="9"/>
      <c r="C52" s="10">
        <v>51570.5265</v>
      </c>
      <c r="D52" s="10">
        <v>5.0000000000000001E-4</v>
      </c>
      <c r="E52">
        <f t="shared" si="1"/>
        <v>17665.054939623365</v>
      </c>
      <c r="F52">
        <f t="shared" si="2"/>
        <v>17665</v>
      </c>
      <c r="G52">
        <f t="shared" si="3"/>
        <v>5.1129999999830034E-2</v>
      </c>
      <c r="K52">
        <f>+G52</f>
        <v>5.1129999999830034E-2</v>
      </c>
      <c r="P52" s="6">
        <f t="shared" si="8"/>
        <v>5.2020625393760511E-2</v>
      </c>
      <c r="Q52" s="1">
        <f t="shared" si="6"/>
        <v>36552.0265</v>
      </c>
      <c r="R52">
        <f t="shared" si="9"/>
        <v>7.9321359231381835E-7</v>
      </c>
    </row>
    <row r="53" spans="1:18" x14ac:dyDescent="0.2">
      <c r="A53" s="3" t="s">
        <v>30</v>
      </c>
      <c r="B53" s="9"/>
      <c r="C53" s="10">
        <v>51839.488100000002</v>
      </c>
      <c r="D53" s="10">
        <v>1E-3</v>
      </c>
      <c r="E53">
        <f t="shared" ref="E53:E69" si="10">+(C53-C$7)/C$8</f>
        <v>17954.056484766694</v>
      </c>
      <c r="F53">
        <f t="shared" ref="F53:F69" si="11">ROUND(2*E53,0)/2</f>
        <v>17954</v>
      </c>
      <c r="G53">
        <f t="shared" si="3"/>
        <v>5.256799999915529E-2</v>
      </c>
      <c r="K53">
        <f>+G53</f>
        <v>5.256799999915529E-2</v>
      </c>
      <c r="P53" s="6">
        <f t="shared" si="8"/>
        <v>5.3759982745430035E-2</v>
      </c>
      <c r="Q53" s="1">
        <f t="shared" ref="Q53:Q69" si="12">+C53-15018.5</f>
        <v>36820.988100000002</v>
      </c>
      <c r="R53">
        <f t="shared" si="9"/>
        <v>1.420822867416682E-6</v>
      </c>
    </row>
    <row r="54" spans="1:18" x14ac:dyDescent="0.2">
      <c r="A54" s="3" t="s">
        <v>30</v>
      </c>
      <c r="B54" s="9"/>
      <c r="C54" s="10">
        <v>51840.420400000003</v>
      </c>
      <c r="D54" s="10">
        <v>4.0000000000000002E-4</v>
      </c>
      <c r="E54">
        <f t="shared" si="10"/>
        <v>17955.058249109774</v>
      </c>
      <c r="F54">
        <f t="shared" si="11"/>
        <v>17955</v>
      </c>
      <c r="G54">
        <f t="shared" si="3"/>
        <v>5.4210000002058223E-2</v>
      </c>
      <c r="K54">
        <f>+G54</f>
        <v>5.4210000002058223E-2</v>
      </c>
      <c r="P54" s="6">
        <f t="shared" si="8"/>
        <v>5.3764958939660046E-2</v>
      </c>
      <c r="Q54" s="1">
        <f t="shared" si="12"/>
        <v>36821.920400000003</v>
      </c>
      <c r="R54">
        <f t="shared" si="9"/>
        <v>1.9806154722049815E-7</v>
      </c>
    </row>
    <row r="55" spans="1:18" x14ac:dyDescent="0.2">
      <c r="A55" s="11" t="s">
        <v>28</v>
      </c>
      <c r="B55" s="11"/>
      <c r="C55" s="12">
        <v>52656.611499999999</v>
      </c>
      <c r="D55" s="12">
        <v>2.9999999999999997E-4</v>
      </c>
      <c r="E55">
        <f t="shared" si="10"/>
        <v>18832.062583677354</v>
      </c>
      <c r="F55">
        <f t="shared" si="11"/>
        <v>18832</v>
      </c>
      <c r="G55">
        <f t="shared" si="3"/>
        <v>5.8243999999831431E-2</v>
      </c>
      <c r="K55">
        <f>+G55</f>
        <v>5.8243999999831431E-2</v>
      </c>
      <c r="O55">
        <f t="shared" ref="O55:O69" ca="1" si="13">+C$11+C$12*F55</f>
        <v>3.8327195599548031E-2</v>
      </c>
      <c r="P55" s="6">
        <f t="shared" si="8"/>
        <v>5.53614584874349E-2</v>
      </c>
      <c r="Q55" s="1">
        <f t="shared" si="12"/>
        <v>37638.111499999999</v>
      </c>
      <c r="R55">
        <f t="shared" si="9"/>
        <v>8.3090455706892759E-6</v>
      </c>
    </row>
    <row r="56" spans="1:18" x14ac:dyDescent="0.2">
      <c r="A56" s="3" t="s">
        <v>28</v>
      </c>
      <c r="B56" s="9" t="s">
        <v>31</v>
      </c>
      <c r="C56" s="13">
        <v>52656.611499999999</v>
      </c>
      <c r="D56" s="10">
        <v>2.9999999999999997E-4</v>
      </c>
      <c r="E56">
        <f t="shared" si="10"/>
        <v>18832.062583677354</v>
      </c>
      <c r="F56">
        <f t="shared" si="11"/>
        <v>18832</v>
      </c>
      <c r="G56">
        <f t="shared" si="3"/>
        <v>5.8243999999831431E-2</v>
      </c>
      <c r="K56">
        <f>+G56</f>
        <v>5.8243999999831431E-2</v>
      </c>
      <c r="O56">
        <f t="shared" ca="1" si="13"/>
        <v>3.8327195599548031E-2</v>
      </c>
      <c r="P56" s="6">
        <f t="shared" si="8"/>
        <v>5.53614584874349E-2</v>
      </c>
      <c r="Q56" s="1">
        <f t="shared" si="12"/>
        <v>37638.111499999999</v>
      </c>
      <c r="R56">
        <f t="shared" si="9"/>
        <v>8.3090455706892759E-6</v>
      </c>
    </row>
    <row r="57" spans="1:18" x14ac:dyDescent="0.2">
      <c r="A57" s="3" t="s">
        <v>29</v>
      </c>
      <c r="B57" s="9"/>
      <c r="C57" s="10">
        <v>52685.457999999999</v>
      </c>
      <c r="D57" s="10">
        <v>2E-3</v>
      </c>
      <c r="E57">
        <f t="shared" si="10"/>
        <v>18863.058395242933</v>
      </c>
      <c r="F57">
        <f t="shared" si="11"/>
        <v>18863</v>
      </c>
      <c r="G57">
        <f t="shared" si="3"/>
        <v>5.434600000444334E-2</v>
      </c>
      <c r="K57">
        <f>+G57</f>
        <v>5.434600000444334E-2</v>
      </c>
      <c r="O57">
        <f t="shared" ca="1" si="13"/>
        <v>3.8450935279501525E-2</v>
      </c>
      <c r="P57" s="6">
        <f t="shared" si="8"/>
        <v>5.5316719197537001E-2</v>
      </c>
      <c r="Q57" s="1">
        <f t="shared" si="12"/>
        <v>37666.957999999999</v>
      </c>
      <c r="R57">
        <f t="shared" si="9"/>
        <v>9.422957518404082E-7</v>
      </c>
    </row>
    <row r="58" spans="1:18" x14ac:dyDescent="0.2">
      <c r="A58" s="35" t="s">
        <v>188</v>
      </c>
      <c r="B58" s="36" t="s">
        <v>31</v>
      </c>
      <c r="C58" s="35">
        <v>53637.513899999998</v>
      </c>
      <c r="E58">
        <f t="shared" si="10"/>
        <v>19886.050622247913</v>
      </c>
      <c r="F58">
        <f t="shared" si="11"/>
        <v>19886</v>
      </c>
      <c r="G58">
        <f t="shared" si="3"/>
        <v>4.711200000019744E-2</v>
      </c>
      <c r="K58">
        <f>+G58</f>
        <v>4.711200000019744E-2</v>
      </c>
      <c r="O58">
        <f t="shared" ca="1" si="13"/>
        <v>4.2534344717966854E-2</v>
      </c>
      <c r="P58" s="6">
        <f t="shared" si="8"/>
        <v>4.9964811096613326E-2</v>
      </c>
      <c r="Q58" s="1">
        <f t="shared" si="12"/>
        <v>38619.013899999998</v>
      </c>
      <c r="R58">
        <f t="shared" si="9"/>
        <v>8.1385311518336084E-6</v>
      </c>
    </row>
    <row r="59" spans="1:18" x14ac:dyDescent="0.2">
      <c r="A59" s="14" t="s">
        <v>42</v>
      </c>
      <c r="B59" s="15" t="s">
        <v>31</v>
      </c>
      <c r="C59" s="12">
        <v>53637.513989999999</v>
      </c>
      <c r="D59" s="12">
        <v>2.0000000000000001E-4</v>
      </c>
      <c r="E59">
        <f t="shared" si="10"/>
        <v>19886.050718953687</v>
      </c>
      <c r="F59">
        <f t="shared" si="11"/>
        <v>19886</v>
      </c>
      <c r="G59">
        <f t="shared" si="3"/>
        <v>4.7202000001561828E-2</v>
      </c>
      <c r="K59">
        <f>+G59</f>
        <v>4.7202000001561828E-2</v>
      </c>
      <c r="O59">
        <f t="shared" ca="1" si="13"/>
        <v>4.2534344717966854E-2</v>
      </c>
      <c r="P59" s="6">
        <f t="shared" si="8"/>
        <v>4.9964811096613326E-2</v>
      </c>
      <c r="Q59" s="1">
        <f t="shared" si="12"/>
        <v>38619.013989999999</v>
      </c>
      <c r="R59">
        <f t="shared" si="9"/>
        <v>7.6331251469396587E-6</v>
      </c>
    </row>
    <row r="60" spans="1:18" x14ac:dyDescent="0.2">
      <c r="A60" s="35" t="s">
        <v>194</v>
      </c>
      <c r="B60" s="36" t="s">
        <v>31</v>
      </c>
      <c r="C60" s="35">
        <v>53705.451399999998</v>
      </c>
      <c r="E60">
        <f t="shared" si="10"/>
        <v>19959.050048460336</v>
      </c>
      <c r="F60">
        <f t="shared" si="11"/>
        <v>19959</v>
      </c>
      <c r="G60">
        <f t="shared" si="3"/>
        <v>4.6578000001318287E-2</v>
      </c>
      <c r="K60">
        <f>+G60</f>
        <v>4.6578000001318287E-2</v>
      </c>
      <c r="O60">
        <f t="shared" ca="1" si="13"/>
        <v>4.282573170624443E-2</v>
      </c>
      <c r="P60" s="6">
        <f t="shared" si="8"/>
        <v>4.9295333892111382E-2</v>
      </c>
      <c r="Q60" s="1">
        <f t="shared" si="12"/>
        <v>38686.951399999998</v>
      </c>
      <c r="R60">
        <f t="shared" si="9"/>
        <v>7.3839034740527365E-6</v>
      </c>
    </row>
    <row r="61" spans="1:18" x14ac:dyDescent="0.2">
      <c r="A61" s="12" t="s">
        <v>39</v>
      </c>
      <c r="B61" s="16"/>
      <c r="C61" s="12">
        <v>54026.527999999998</v>
      </c>
      <c r="D61" s="12">
        <v>2E-3</v>
      </c>
      <c r="E61">
        <f t="shared" si="10"/>
        <v>20304.04960791182</v>
      </c>
      <c r="F61">
        <f t="shared" si="11"/>
        <v>20304</v>
      </c>
      <c r="G61">
        <f t="shared" si="3"/>
        <v>4.6168000000761822E-2</v>
      </c>
      <c r="K61">
        <f>+G61</f>
        <v>4.6168000000761822E-2</v>
      </c>
      <c r="O61">
        <f t="shared" ca="1" si="13"/>
        <v>4.4202834596049456E-2</v>
      </c>
      <c r="P61" s="6">
        <f t="shared" si="8"/>
        <v>4.561303410927775E-2</v>
      </c>
      <c r="Q61" s="1">
        <f t="shared" si="12"/>
        <v>39008.027999999998</v>
      </c>
      <c r="R61">
        <f t="shared" si="9"/>
        <v>3.0798714071071035E-7</v>
      </c>
    </row>
    <row r="62" spans="1:18" x14ac:dyDescent="0.2">
      <c r="A62" s="35" t="s">
        <v>188</v>
      </c>
      <c r="B62" s="36" t="s">
        <v>31</v>
      </c>
      <c r="C62" s="35">
        <v>54135.4136</v>
      </c>
      <c r="E62">
        <f t="shared" si="10"/>
        <v>20421.048118642939</v>
      </c>
      <c r="F62">
        <f t="shared" si="11"/>
        <v>20421</v>
      </c>
      <c r="G62">
        <f t="shared" si="3"/>
        <v>4.4781999997212552E-2</v>
      </c>
      <c r="K62">
        <f>+G62</f>
        <v>4.4781999997212552E-2</v>
      </c>
      <c r="O62">
        <f t="shared" ca="1" si="13"/>
        <v>4.4669852097809423E-2</v>
      </c>
      <c r="P62" s="6">
        <f t="shared" si="8"/>
        <v>4.4169968576842189E-2</v>
      </c>
      <c r="Q62" s="1">
        <f t="shared" si="12"/>
        <v>39116.9136</v>
      </c>
      <c r="R62">
        <f t="shared" si="9"/>
        <v>3.745824595205634E-7</v>
      </c>
    </row>
    <row r="63" spans="1:18" x14ac:dyDescent="0.2">
      <c r="A63" s="14" t="s">
        <v>42</v>
      </c>
      <c r="B63" s="15" t="s">
        <v>31</v>
      </c>
      <c r="C63" s="12">
        <v>54135.413610000003</v>
      </c>
      <c r="D63" s="12">
        <v>2.9999999999999997E-4</v>
      </c>
      <c r="E63">
        <f t="shared" si="10"/>
        <v>20421.048129388029</v>
      </c>
      <c r="F63">
        <f t="shared" si="11"/>
        <v>20421</v>
      </c>
      <c r="G63">
        <f t="shared" si="3"/>
        <v>4.4792000000597909E-2</v>
      </c>
      <c r="K63">
        <f>+G63</f>
        <v>4.4792000000597909E-2</v>
      </c>
      <c r="O63">
        <f t="shared" ca="1" si="13"/>
        <v>4.4669852097809423E-2</v>
      </c>
      <c r="P63" s="6">
        <f t="shared" si="8"/>
        <v>4.4169968576842189E-2</v>
      </c>
      <c r="Q63" s="1">
        <f t="shared" si="12"/>
        <v>39116.913610000003</v>
      </c>
      <c r="R63">
        <f t="shared" si="9"/>
        <v>3.8692309213956818E-7</v>
      </c>
    </row>
    <row r="64" spans="1:18" x14ac:dyDescent="0.2">
      <c r="A64" s="3" t="s">
        <v>45</v>
      </c>
      <c r="B64" s="7" t="s">
        <v>31</v>
      </c>
      <c r="C64" s="3">
        <v>54847.368199999997</v>
      </c>
      <c r="D64" s="3">
        <v>5.0000000000000001E-4</v>
      </c>
      <c r="E64">
        <f t="shared" si="10"/>
        <v>21186.049440288483</v>
      </c>
      <c r="F64">
        <f t="shared" si="11"/>
        <v>21186</v>
      </c>
      <c r="G64">
        <f t="shared" si="3"/>
        <v>4.6011999998881947E-2</v>
      </c>
      <c r="K64">
        <f>+G64</f>
        <v>4.6011999998881947E-2</v>
      </c>
      <c r="O64">
        <f t="shared" ca="1" si="13"/>
        <v>4.7723428070855334E-2</v>
      </c>
      <c r="P64" s="6">
        <f t="shared" si="8"/>
        <v>3.2309366620999924E-2</v>
      </c>
      <c r="Q64" s="1">
        <f t="shared" si="12"/>
        <v>39828.868199999997</v>
      </c>
      <c r="R64">
        <f t="shared" si="9"/>
        <v>1.8776216148864649E-4</v>
      </c>
    </row>
    <row r="65" spans="1:21" x14ac:dyDescent="0.2">
      <c r="A65" s="3" t="s">
        <v>44</v>
      </c>
      <c r="B65" s="7" t="s">
        <v>31</v>
      </c>
      <c r="C65" s="3">
        <v>55245.691099999996</v>
      </c>
      <c r="D65" s="3">
        <v>2.9999999999999997E-4</v>
      </c>
      <c r="E65">
        <f t="shared" si="10"/>
        <v>21614.05081136142</v>
      </c>
      <c r="F65">
        <f t="shared" si="11"/>
        <v>21614</v>
      </c>
      <c r="G65">
        <f t="shared" si="3"/>
        <v>4.7288000001572073E-2</v>
      </c>
      <c r="K65">
        <f>+G65</f>
        <v>4.7288000001572073E-2</v>
      </c>
      <c r="O65">
        <f t="shared" ca="1" si="13"/>
        <v>4.9431833974729389E-2</v>
      </c>
      <c r="P65" s="6">
        <f t="shared" si="8"/>
        <v>2.3838373671651869E-2</v>
      </c>
      <c r="Q65" s="1">
        <f t="shared" si="12"/>
        <v>40227.191099999996</v>
      </c>
      <c r="R65">
        <f t="shared" si="9"/>
        <v>5.4988497501288688E-4</v>
      </c>
    </row>
    <row r="66" spans="1:21" x14ac:dyDescent="0.2">
      <c r="A66" s="17" t="s">
        <v>46</v>
      </c>
      <c r="B66" s="18" t="s">
        <v>31</v>
      </c>
      <c r="C66" s="17">
        <v>55957.650399999999</v>
      </c>
      <c r="D66" s="17">
        <v>4.0000000000000002E-4</v>
      </c>
      <c r="E66">
        <f t="shared" si="10"/>
        <v>22379.057183197263</v>
      </c>
      <c r="F66">
        <f t="shared" si="11"/>
        <v>22379</v>
      </c>
      <c r="G66">
        <f t="shared" si="3"/>
        <v>5.3218000000924803E-2</v>
      </c>
      <c r="K66">
        <f>+G66</f>
        <v>5.3218000000924803E-2</v>
      </c>
      <c r="O66">
        <f t="shared" ca="1" si="13"/>
        <v>5.2485409947775299E-2</v>
      </c>
      <c r="P66" s="6">
        <f t="shared" si="8"/>
        <v>5.4171550375345934E-3</v>
      </c>
      <c r="Q66" s="1">
        <f t="shared" si="12"/>
        <v>40939.150399999999</v>
      </c>
      <c r="R66">
        <f t="shared" si="9"/>
        <v>2.2849207792140671E-3</v>
      </c>
    </row>
    <row r="67" spans="1:21" x14ac:dyDescent="0.2">
      <c r="A67" s="19" t="s">
        <v>47</v>
      </c>
      <c r="B67" s="20" t="s">
        <v>31</v>
      </c>
      <c r="C67" s="19">
        <v>56727.307699999998</v>
      </c>
      <c r="D67" s="19">
        <v>1.5E-3</v>
      </c>
      <c r="E67">
        <f t="shared" si="10"/>
        <v>23206.06055070713</v>
      </c>
      <c r="F67">
        <f t="shared" si="11"/>
        <v>23206</v>
      </c>
      <c r="G67">
        <f t="shared" si="3"/>
        <v>5.6351999999606051E-2</v>
      </c>
      <c r="K67">
        <f>+G67</f>
        <v>5.6351999999606051E-2</v>
      </c>
      <c r="O67">
        <f t="shared" ca="1" si="13"/>
        <v>5.5786465280728212E-2</v>
      </c>
      <c r="P67" s="6">
        <f t="shared" si="8"/>
        <v>-1.922920626636726E-2</v>
      </c>
      <c r="Q67" s="1">
        <f t="shared" si="12"/>
        <v>41708.807699999998</v>
      </c>
      <c r="R67">
        <f t="shared" si="9"/>
        <v>5.7125187406196036E-3</v>
      </c>
    </row>
    <row r="68" spans="1:21" x14ac:dyDescent="0.2">
      <c r="A68" s="19" t="s">
        <v>48</v>
      </c>
      <c r="B68" s="21"/>
      <c r="C68" s="19">
        <v>56932.584000000003</v>
      </c>
      <c r="D68" s="19">
        <v>2.0000000000000001E-4</v>
      </c>
      <c r="E68">
        <f t="shared" si="10"/>
        <v>23426.631694994299</v>
      </c>
      <c r="F68">
        <f t="shared" si="11"/>
        <v>23426.5</v>
      </c>
      <c r="O68">
        <f t="shared" ca="1" si="13"/>
        <v>5.6666613649429681E-2</v>
      </c>
      <c r="P68" s="6">
        <f t="shared" si="8"/>
        <v>-2.6630761894250954E-2</v>
      </c>
      <c r="Q68" s="1">
        <f t="shared" si="12"/>
        <v>41914.084000000003</v>
      </c>
      <c r="R68">
        <f>+(P68-U68)^2</f>
        <v>2.2258778589485537E-2</v>
      </c>
      <c r="U68">
        <f>+C68-(C$7+F68*C$8)</f>
        <v>0.12256300000444753</v>
      </c>
    </row>
    <row r="69" spans="1:21" x14ac:dyDescent="0.2">
      <c r="A69" s="19" t="s">
        <v>48</v>
      </c>
      <c r="B69" s="21"/>
      <c r="C69" s="19">
        <v>56964.626300000004</v>
      </c>
      <c r="D69" s="19">
        <v>5.8999999999999999E-3</v>
      </c>
      <c r="E69">
        <f t="shared" si="10"/>
        <v>23461.061421059083</v>
      </c>
      <c r="F69">
        <f t="shared" si="11"/>
        <v>23461</v>
      </c>
      <c r="G69">
        <f>+C69-(C$7+F69*C$8)</f>
        <v>5.7162000004609581E-2</v>
      </c>
      <c r="K69">
        <f>+G69</f>
        <v>5.7162000004609581E-2</v>
      </c>
      <c r="O69">
        <f t="shared" ca="1" si="13"/>
        <v>5.6804323938410173E-2</v>
      </c>
      <c r="P69" s="6">
        <f t="shared" si="8"/>
        <v>-2.7820449163644234E-2</v>
      </c>
      <c r="Q69" s="1">
        <f t="shared" si="12"/>
        <v>41946.126300000004</v>
      </c>
      <c r="R69">
        <f>+(P69-G69)^2</f>
        <v>7.2220166666348432E-3</v>
      </c>
    </row>
    <row r="70" spans="1:21" x14ac:dyDescent="0.2">
      <c r="B70" s="2"/>
    </row>
    <row r="71" spans="1:21" x14ac:dyDescent="0.2">
      <c r="B71" s="2"/>
    </row>
    <row r="72" spans="1:21" x14ac:dyDescent="0.2">
      <c r="B72" s="2"/>
    </row>
    <row r="73" spans="1:21" x14ac:dyDescent="0.2">
      <c r="B73" s="2"/>
    </row>
    <row r="74" spans="1:21" x14ac:dyDescent="0.2">
      <c r="B74" s="2"/>
    </row>
    <row r="75" spans="1:21" x14ac:dyDescent="0.2">
      <c r="B75" s="2"/>
    </row>
    <row r="76" spans="1:21" x14ac:dyDescent="0.2">
      <c r="B76" s="2"/>
    </row>
    <row r="77" spans="1:21" x14ac:dyDescent="0.2">
      <c r="B77" s="2"/>
    </row>
    <row r="78" spans="1:21" x14ac:dyDescent="0.2">
      <c r="B78" s="2"/>
    </row>
    <row r="79" spans="1:21" x14ac:dyDescent="0.2">
      <c r="B79" s="2"/>
    </row>
    <row r="80" spans="1:21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7" workbookViewId="0">
      <selection activeCell="A23" sqref="A23:C54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22" t="s">
        <v>50</v>
      </c>
      <c r="I1" s="23" t="s">
        <v>51</v>
      </c>
      <c r="J1" s="24" t="s">
        <v>52</v>
      </c>
    </row>
    <row r="2" spans="1:16" x14ac:dyDescent="0.2">
      <c r="I2" s="25" t="s">
        <v>53</v>
      </c>
      <c r="J2" s="26" t="s">
        <v>54</v>
      </c>
    </row>
    <row r="3" spans="1:16" x14ac:dyDescent="0.2">
      <c r="A3" s="27" t="s">
        <v>55</v>
      </c>
      <c r="I3" s="25" t="s">
        <v>56</v>
      </c>
      <c r="J3" s="26" t="s">
        <v>57</v>
      </c>
    </row>
    <row r="4" spans="1:16" x14ac:dyDescent="0.2">
      <c r="I4" s="25" t="s">
        <v>58</v>
      </c>
      <c r="J4" s="26" t="s">
        <v>57</v>
      </c>
    </row>
    <row r="5" spans="1:16" ht="13.5" thickBot="1" x14ac:dyDescent="0.25">
      <c r="I5" s="28" t="s">
        <v>59</v>
      </c>
      <c r="J5" s="29" t="s">
        <v>60</v>
      </c>
    </row>
    <row r="10" spans="1:16" ht="13.5" thickBot="1" x14ac:dyDescent="0.25"/>
    <row r="11" spans="1:16" ht="12.75" customHeight="1" thickBot="1" x14ac:dyDescent="0.25">
      <c r="A11" s="5" t="str">
        <f t="shared" ref="A11:A54" si="0">P11</f>
        <v>BAVM 152 </v>
      </c>
      <c r="B11" s="2" t="str">
        <f t="shared" ref="B11:B54" si="1">IF(H11=INT(H11),"I","II")</f>
        <v>I</v>
      </c>
      <c r="C11" s="5">
        <f t="shared" ref="C11:C54" si="2">1*G11</f>
        <v>51570.5265</v>
      </c>
      <c r="D11" s="4" t="str">
        <f t="shared" ref="D11:D54" si="3">VLOOKUP(F11,I$1:J$5,2,FALSE)</f>
        <v>vis</v>
      </c>
      <c r="E11" s="30">
        <f>VLOOKUP(C11,Active!C$21:E$973,3,FALSE)</f>
        <v>17665.054939623365</v>
      </c>
      <c r="F11" s="2" t="s">
        <v>59</v>
      </c>
      <c r="G11" s="4" t="str">
        <f t="shared" ref="G11:G54" si="4">MID(I11,3,LEN(I11)-3)</f>
        <v>51570.5265</v>
      </c>
      <c r="H11" s="5">
        <f t="shared" ref="H11:H54" si="5">1*K11</f>
        <v>17665</v>
      </c>
      <c r="I11" s="31" t="s">
        <v>154</v>
      </c>
      <c r="J11" s="32" t="s">
        <v>155</v>
      </c>
      <c r="K11" s="31">
        <v>17665</v>
      </c>
      <c r="L11" s="31" t="s">
        <v>156</v>
      </c>
      <c r="M11" s="32" t="s">
        <v>157</v>
      </c>
      <c r="N11" s="32" t="s">
        <v>158</v>
      </c>
      <c r="O11" s="33" t="s">
        <v>159</v>
      </c>
      <c r="P11" s="34" t="s">
        <v>160</v>
      </c>
    </row>
    <row r="12" spans="1:16" ht="12.75" customHeight="1" thickBot="1" x14ac:dyDescent="0.25">
      <c r="A12" s="5" t="str">
        <f t="shared" si="0"/>
        <v>BAVM 152 </v>
      </c>
      <c r="B12" s="2" t="str">
        <f t="shared" si="1"/>
        <v>I</v>
      </c>
      <c r="C12" s="5">
        <f t="shared" si="2"/>
        <v>51839.488100000002</v>
      </c>
      <c r="D12" s="4" t="str">
        <f t="shared" si="3"/>
        <v>vis</v>
      </c>
      <c r="E12" s="30">
        <f>VLOOKUP(C12,Active!C$21:E$973,3,FALSE)</f>
        <v>17954.056484766694</v>
      </c>
      <c r="F12" s="2" t="s">
        <v>59</v>
      </c>
      <c r="G12" s="4" t="str">
        <f t="shared" si="4"/>
        <v>51839.4881</v>
      </c>
      <c r="H12" s="5">
        <f t="shared" si="5"/>
        <v>17954</v>
      </c>
      <c r="I12" s="31" t="s">
        <v>161</v>
      </c>
      <c r="J12" s="32" t="s">
        <v>162</v>
      </c>
      <c r="K12" s="31" t="s">
        <v>163</v>
      </c>
      <c r="L12" s="31" t="s">
        <v>164</v>
      </c>
      <c r="M12" s="32" t="s">
        <v>157</v>
      </c>
      <c r="N12" s="32" t="s">
        <v>59</v>
      </c>
      <c r="O12" s="33" t="s">
        <v>159</v>
      </c>
      <c r="P12" s="34" t="s">
        <v>160</v>
      </c>
    </row>
    <row r="13" spans="1:16" ht="12.75" customHeight="1" thickBot="1" x14ac:dyDescent="0.25">
      <c r="A13" s="5" t="str">
        <f t="shared" si="0"/>
        <v>BAVM 152 </v>
      </c>
      <c r="B13" s="2" t="str">
        <f t="shared" si="1"/>
        <v>I</v>
      </c>
      <c r="C13" s="5">
        <f t="shared" si="2"/>
        <v>51840.420400000003</v>
      </c>
      <c r="D13" s="4" t="str">
        <f t="shared" si="3"/>
        <v>vis</v>
      </c>
      <c r="E13" s="30">
        <f>VLOOKUP(C13,Active!C$21:E$973,3,FALSE)</f>
        <v>17955.058249109774</v>
      </c>
      <c r="F13" s="2" t="s">
        <v>59</v>
      </c>
      <c r="G13" s="4" t="str">
        <f t="shared" si="4"/>
        <v>51840.4204</v>
      </c>
      <c r="H13" s="5">
        <f t="shared" si="5"/>
        <v>17955</v>
      </c>
      <c r="I13" s="31" t="s">
        <v>165</v>
      </c>
      <c r="J13" s="32" t="s">
        <v>166</v>
      </c>
      <c r="K13" s="31" t="s">
        <v>167</v>
      </c>
      <c r="L13" s="31" t="s">
        <v>168</v>
      </c>
      <c r="M13" s="32" t="s">
        <v>157</v>
      </c>
      <c r="N13" s="32" t="s">
        <v>59</v>
      </c>
      <c r="O13" s="33" t="s">
        <v>159</v>
      </c>
      <c r="P13" s="34" t="s">
        <v>160</v>
      </c>
    </row>
    <row r="14" spans="1:16" ht="12.75" customHeight="1" thickBot="1" x14ac:dyDescent="0.25">
      <c r="A14" s="5" t="str">
        <f t="shared" si="0"/>
        <v>IBVS 5502 </v>
      </c>
      <c r="B14" s="2" t="str">
        <f t="shared" si="1"/>
        <v>I</v>
      </c>
      <c r="C14" s="5">
        <f t="shared" si="2"/>
        <v>52656.611499999999</v>
      </c>
      <c r="D14" s="4" t="str">
        <f t="shared" si="3"/>
        <v>vis</v>
      </c>
      <c r="E14" s="30">
        <f>VLOOKUP(C14,Active!C$21:E$973,3,FALSE)</f>
        <v>18832.062583677354</v>
      </c>
      <c r="F14" s="2" t="s">
        <v>59</v>
      </c>
      <c r="G14" s="4" t="str">
        <f t="shared" si="4"/>
        <v>52656.6115</v>
      </c>
      <c r="H14" s="5">
        <f t="shared" si="5"/>
        <v>18832</v>
      </c>
      <c r="I14" s="31" t="s">
        <v>169</v>
      </c>
      <c r="J14" s="32" t="s">
        <v>170</v>
      </c>
      <c r="K14" s="31" t="s">
        <v>171</v>
      </c>
      <c r="L14" s="31" t="s">
        <v>172</v>
      </c>
      <c r="M14" s="32" t="s">
        <v>157</v>
      </c>
      <c r="N14" s="32" t="s">
        <v>173</v>
      </c>
      <c r="O14" s="33" t="s">
        <v>174</v>
      </c>
      <c r="P14" s="34" t="s">
        <v>175</v>
      </c>
    </row>
    <row r="15" spans="1:16" ht="12.75" customHeight="1" thickBot="1" x14ac:dyDescent="0.25">
      <c r="A15" s="5" t="str">
        <f t="shared" si="0"/>
        <v>BAVM 158 </v>
      </c>
      <c r="B15" s="2" t="str">
        <f t="shared" si="1"/>
        <v>I</v>
      </c>
      <c r="C15" s="5">
        <f t="shared" si="2"/>
        <v>52685.457999999999</v>
      </c>
      <c r="D15" s="4" t="str">
        <f t="shared" si="3"/>
        <v>vis</v>
      </c>
      <c r="E15" s="30">
        <f>VLOOKUP(C15,Active!C$21:E$973,3,FALSE)</f>
        <v>18863.058395242933</v>
      </c>
      <c r="F15" s="2" t="s">
        <v>59</v>
      </c>
      <c r="G15" s="4" t="str">
        <f t="shared" si="4"/>
        <v>52685.458</v>
      </c>
      <c r="H15" s="5">
        <f t="shared" si="5"/>
        <v>18863</v>
      </c>
      <c r="I15" s="31" t="s">
        <v>176</v>
      </c>
      <c r="J15" s="32" t="s">
        <v>177</v>
      </c>
      <c r="K15" s="31" t="s">
        <v>178</v>
      </c>
      <c r="L15" s="31" t="s">
        <v>179</v>
      </c>
      <c r="M15" s="32" t="s">
        <v>157</v>
      </c>
      <c r="N15" s="32" t="s">
        <v>59</v>
      </c>
      <c r="O15" s="33" t="s">
        <v>159</v>
      </c>
      <c r="P15" s="34" t="s">
        <v>180</v>
      </c>
    </row>
    <row r="16" spans="1:16" ht="12.75" customHeight="1" thickBot="1" x14ac:dyDescent="0.25">
      <c r="A16" s="5" t="str">
        <f t="shared" si="0"/>
        <v>BAVM 186 </v>
      </c>
      <c r="B16" s="2" t="str">
        <f t="shared" si="1"/>
        <v>I</v>
      </c>
      <c r="C16" s="5">
        <f t="shared" si="2"/>
        <v>54026.527999999998</v>
      </c>
      <c r="D16" s="4" t="str">
        <f t="shared" si="3"/>
        <v>vis</v>
      </c>
      <c r="E16" s="30">
        <f>VLOOKUP(C16,Active!C$21:E$973,3,FALSE)</f>
        <v>20304.04960791182</v>
      </c>
      <c r="F16" s="2" t="s">
        <v>59</v>
      </c>
      <c r="G16" s="4" t="str">
        <f t="shared" si="4"/>
        <v>54026.528</v>
      </c>
      <c r="H16" s="5">
        <f t="shared" si="5"/>
        <v>20304</v>
      </c>
      <c r="I16" s="31" t="s">
        <v>195</v>
      </c>
      <c r="J16" s="32" t="s">
        <v>196</v>
      </c>
      <c r="K16" s="31" t="s">
        <v>197</v>
      </c>
      <c r="L16" s="31" t="s">
        <v>198</v>
      </c>
      <c r="M16" s="32" t="s">
        <v>185</v>
      </c>
      <c r="N16" s="32" t="s">
        <v>199</v>
      </c>
      <c r="O16" s="33" t="s">
        <v>200</v>
      </c>
      <c r="P16" s="34" t="s">
        <v>201</v>
      </c>
    </row>
    <row r="17" spans="1:16" ht="12.75" customHeight="1" thickBot="1" x14ac:dyDescent="0.25">
      <c r="A17" s="5" t="str">
        <f t="shared" si="0"/>
        <v>BAVM 209 </v>
      </c>
      <c r="B17" s="2" t="str">
        <f t="shared" si="1"/>
        <v>I</v>
      </c>
      <c r="C17" s="5">
        <f t="shared" si="2"/>
        <v>54847.368199999997</v>
      </c>
      <c r="D17" s="4" t="str">
        <f t="shared" si="3"/>
        <v>vis</v>
      </c>
      <c r="E17" s="30">
        <f>VLOOKUP(C17,Active!C$21:E$973,3,FALSE)</f>
        <v>21186.049440288483</v>
      </c>
      <c r="F17" s="2" t="s">
        <v>59</v>
      </c>
      <c r="G17" s="4" t="str">
        <f t="shared" si="4"/>
        <v>54847.3682</v>
      </c>
      <c r="H17" s="5">
        <f t="shared" si="5"/>
        <v>21186</v>
      </c>
      <c r="I17" s="31" t="s">
        <v>206</v>
      </c>
      <c r="J17" s="32" t="s">
        <v>207</v>
      </c>
      <c r="K17" s="31" t="s">
        <v>208</v>
      </c>
      <c r="L17" s="31" t="s">
        <v>209</v>
      </c>
      <c r="M17" s="32" t="s">
        <v>185</v>
      </c>
      <c r="N17" s="32" t="s">
        <v>199</v>
      </c>
      <c r="O17" s="33" t="s">
        <v>210</v>
      </c>
      <c r="P17" s="34" t="s">
        <v>211</v>
      </c>
    </row>
    <row r="18" spans="1:16" ht="12.75" customHeight="1" thickBot="1" x14ac:dyDescent="0.25">
      <c r="A18" s="5" t="str">
        <f t="shared" si="0"/>
        <v>IBVS 5945 </v>
      </c>
      <c r="B18" s="2" t="str">
        <f t="shared" si="1"/>
        <v>I</v>
      </c>
      <c r="C18" s="5">
        <f t="shared" si="2"/>
        <v>55245.691099999996</v>
      </c>
      <c r="D18" s="4" t="str">
        <f t="shared" si="3"/>
        <v>vis</v>
      </c>
      <c r="E18" s="30">
        <f>VLOOKUP(C18,Active!C$21:E$973,3,FALSE)</f>
        <v>21614.05081136142</v>
      </c>
      <c r="F18" s="2" t="s">
        <v>59</v>
      </c>
      <c r="G18" s="4" t="str">
        <f t="shared" si="4"/>
        <v>55245.6911</v>
      </c>
      <c r="H18" s="5">
        <f t="shared" si="5"/>
        <v>21614</v>
      </c>
      <c r="I18" s="31" t="s">
        <v>212</v>
      </c>
      <c r="J18" s="32" t="s">
        <v>213</v>
      </c>
      <c r="K18" s="31" t="s">
        <v>214</v>
      </c>
      <c r="L18" s="31" t="s">
        <v>215</v>
      </c>
      <c r="M18" s="32" t="s">
        <v>185</v>
      </c>
      <c r="N18" s="32" t="s">
        <v>59</v>
      </c>
      <c r="O18" s="33" t="s">
        <v>216</v>
      </c>
      <c r="P18" s="34" t="s">
        <v>217</v>
      </c>
    </row>
    <row r="19" spans="1:16" ht="12.75" customHeight="1" thickBot="1" x14ac:dyDescent="0.25">
      <c r="A19" s="5" t="str">
        <f t="shared" si="0"/>
        <v>IBVS 6029 </v>
      </c>
      <c r="B19" s="2" t="str">
        <f t="shared" si="1"/>
        <v>I</v>
      </c>
      <c r="C19" s="5">
        <f t="shared" si="2"/>
        <v>55957.650399999999</v>
      </c>
      <c r="D19" s="4" t="str">
        <f t="shared" si="3"/>
        <v>vis</v>
      </c>
      <c r="E19" s="30">
        <f>VLOOKUP(C19,Active!C$21:E$973,3,FALSE)</f>
        <v>22379.057183197263</v>
      </c>
      <c r="F19" s="2" t="s">
        <v>59</v>
      </c>
      <c r="G19" s="4" t="str">
        <f t="shared" si="4"/>
        <v>55957.6504</v>
      </c>
      <c r="H19" s="5">
        <f t="shared" si="5"/>
        <v>22379</v>
      </c>
      <c r="I19" s="31" t="s">
        <v>218</v>
      </c>
      <c r="J19" s="32" t="s">
        <v>219</v>
      </c>
      <c r="K19" s="31" t="s">
        <v>220</v>
      </c>
      <c r="L19" s="31" t="s">
        <v>221</v>
      </c>
      <c r="M19" s="32" t="s">
        <v>185</v>
      </c>
      <c r="N19" s="32" t="s">
        <v>59</v>
      </c>
      <c r="O19" s="33" t="s">
        <v>216</v>
      </c>
      <c r="P19" s="34" t="s">
        <v>222</v>
      </c>
    </row>
    <row r="20" spans="1:16" ht="12.75" customHeight="1" thickBot="1" x14ac:dyDescent="0.25">
      <c r="A20" s="5" t="str">
        <f t="shared" si="0"/>
        <v>BAVM 238 </v>
      </c>
      <c r="B20" s="2" t="str">
        <f t="shared" si="1"/>
        <v>I</v>
      </c>
      <c r="C20" s="5">
        <f t="shared" si="2"/>
        <v>56727.307699999998</v>
      </c>
      <c r="D20" s="4" t="str">
        <f t="shared" si="3"/>
        <v>vis</v>
      </c>
      <c r="E20" s="30">
        <f>VLOOKUP(C20,Active!C$21:E$973,3,FALSE)</f>
        <v>23206.06055070713</v>
      </c>
      <c r="F20" s="2" t="s">
        <v>59</v>
      </c>
      <c r="G20" s="4" t="str">
        <f t="shared" si="4"/>
        <v>56727.3077</v>
      </c>
      <c r="H20" s="5">
        <f t="shared" si="5"/>
        <v>23206</v>
      </c>
      <c r="I20" s="31" t="s">
        <v>223</v>
      </c>
      <c r="J20" s="32" t="s">
        <v>224</v>
      </c>
      <c r="K20" s="31" t="s">
        <v>225</v>
      </c>
      <c r="L20" s="31" t="s">
        <v>226</v>
      </c>
      <c r="M20" s="32" t="s">
        <v>185</v>
      </c>
      <c r="N20" s="32" t="s">
        <v>199</v>
      </c>
      <c r="O20" s="33" t="s">
        <v>227</v>
      </c>
      <c r="P20" s="34" t="s">
        <v>228</v>
      </c>
    </row>
    <row r="21" spans="1:16" ht="12.75" customHeight="1" thickBot="1" x14ac:dyDescent="0.25">
      <c r="A21" s="5" t="str">
        <f t="shared" si="0"/>
        <v>BAVM 239 </v>
      </c>
      <c r="B21" s="2" t="str">
        <f t="shared" si="1"/>
        <v>II</v>
      </c>
      <c r="C21" s="5">
        <f t="shared" si="2"/>
        <v>56932.584000000003</v>
      </c>
      <c r="D21" s="4" t="str">
        <f t="shared" si="3"/>
        <v>vis</v>
      </c>
      <c r="E21" s="30">
        <f>VLOOKUP(C21,Active!C$21:E$973,3,FALSE)</f>
        <v>23426.631694994299</v>
      </c>
      <c r="F21" s="2" t="s">
        <v>59</v>
      </c>
      <c r="G21" s="4" t="str">
        <f t="shared" si="4"/>
        <v>56932.5840</v>
      </c>
      <c r="H21" s="5">
        <f t="shared" si="5"/>
        <v>23426.5</v>
      </c>
      <c r="I21" s="31" t="s">
        <v>229</v>
      </c>
      <c r="J21" s="32" t="s">
        <v>230</v>
      </c>
      <c r="K21" s="31" t="s">
        <v>231</v>
      </c>
      <c r="L21" s="31" t="s">
        <v>232</v>
      </c>
      <c r="M21" s="32" t="s">
        <v>185</v>
      </c>
      <c r="N21" s="32" t="s">
        <v>199</v>
      </c>
      <c r="O21" s="33" t="s">
        <v>227</v>
      </c>
      <c r="P21" s="34" t="s">
        <v>233</v>
      </c>
    </row>
    <row r="22" spans="1:16" ht="12.75" customHeight="1" thickBot="1" x14ac:dyDescent="0.25">
      <c r="A22" s="5" t="str">
        <f t="shared" si="0"/>
        <v>BAVM 239 </v>
      </c>
      <c r="B22" s="2" t="str">
        <f t="shared" si="1"/>
        <v>I</v>
      </c>
      <c r="C22" s="5">
        <f t="shared" si="2"/>
        <v>56964.626300000004</v>
      </c>
      <c r="D22" s="4" t="str">
        <f t="shared" si="3"/>
        <v>vis</v>
      </c>
      <c r="E22" s="30">
        <f>VLOOKUP(C22,Active!C$21:E$973,3,FALSE)</f>
        <v>23461.061421059083</v>
      </c>
      <c r="F22" s="2" t="s">
        <v>59</v>
      </c>
      <c r="G22" s="4" t="str">
        <f t="shared" si="4"/>
        <v>56964.6263</v>
      </c>
      <c r="H22" s="5">
        <f t="shared" si="5"/>
        <v>23461</v>
      </c>
      <c r="I22" s="31" t="s">
        <v>234</v>
      </c>
      <c r="J22" s="32" t="s">
        <v>235</v>
      </c>
      <c r="K22" s="31" t="s">
        <v>236</v>
      </c>
      <c r="L22" s="31" t="s">
        <v>237</v>
      </c>
      <c r="M22" s="32" t="s">
        <v>185</v>
      </c>
      <c r="N22" s="32" t="s">
        <v>158</v>
      </c>
      <c r="O22" s="33" t="s">
        <v>238</v>
      </c>
      <c r="P22" s="34" t="s">
        <v>233</v>
      </c>
    </row>
    <row r="23" spans="1:16" ht="12.75" customHeight="1" thickBot="1" x14ac:dyDescent="0.25">
      <c r="A23" s="5" t="str">
        <f t="shared" si="0"/>
        <v> AA 6.109 </v>
      </c>
      <c r="B23" s="2" t="str">
        <f t="shared" si="1"/>
        <v>I</v>
      </c>
      <c r="C23" s="5">
        <f t="shared" si="2"/>
        <v>27452.465</v>
      </c>
      <c r="D23" s="4" t="str">
        <f t="shared" si="3"/>
        <v>vis</v>
      </c>
      <c r="E23" s="30">
        <f>VLOOKUP(C23,Active!C$21:E$973,3,FALSE)</f>
        <v>-8250.0089184211593</v>
      </c>
      <c r="F23" s="2" t="s">
        <v>59</v>
      </c>
      <c r="G23" s="4" t="str">
        <f t="shared" si="4"/>
        <v>27452.465</v>
      </c>
      <c r="H23" s="5">
        <f t="shared" si="5"/>
        <v>-8250</v>
      </c>
      <c r="I23" s="31" t="s">
        <v>61</v>
      </c>
      <c r="J23" s="32" t="s">
        <v>62</v>
      </c>
      <c r="K23" s="31">
        <v>-8250</v>
      </c>
      <c r="L23" s="31" t="s">
        <v>63</v>
      </c>
      <c r="M23" s="32" t="s">
        <v>64</v>
      </c>
      <c r="N23" s="32"/>
      <c r="O23" s="33" t="s">
        <v>65</v>
      </c>
      <c r="P23" s="33" t="s">
        <v>66</v>
      </c>
    </row>
    <row r="24" spans="1:16" ht="12.75" customHeight="1" thickBot="1" x14ac:dyDescent="0.25">
      <c r="A24" s="5" t="str">
        <f t="shared" si="0"/>
        <v> AA 6.109 </v>
      </c>
      <c r="B24" s="2" t="str">
        <f t="shared" si="1"/>
        <v>I</v>
      </c>
      <c r="C24" s="5">
        <f t="shared" si="2"/>
        <v>27453.383000000002</v>
      </c>
      <c r="D24" s="4" t="str">
        <f t="shared" si="3"/>
        <v>vis</v>
      </c>
      <c r="E24" s="30">
        <f>VLOOKUP(C24,Active!C$21:E$973,3,FALSE)</f>
        <v>-8249.022519550681</v>
      </c>
      <c r="F24" s="2" t="s">
        <v>59</v>
      </c>
      <c r="G24" s="4" t="str">
        <f t="shared" si="4"/>
        <v>27453.383</v>
      </c>
      <c r="H24" s="5">
        <f t="shared" si="5"/>
        <v>-8249</v>
      </c>
      <c r="I24" s="31" t="s">
        <v>67</v>
      </c>
      <c r="J24" s="32" t="s">
        <v>68</v>
      </c>
      <c r="K24" s="31">
        <v>-8249</v>
      </c>
      <c r="L24" s="31" t="s">
        <v>69</v>
      </c>
      <c r="M24" s="32" t="s">
        <v>64</v>
      </c>
      <c r="N24" s="32"/>
      <c r="O24" s="33" t="s">
        <v>65</v>
      </c>
      <c r="P24" s="33" t="s">
        <v>66</v>
      </c>
    </row>
    <row r="25" spans="1:16" ht="12.75" customHeight="1" thickBot="1" x14ac:dyDescent="0.25">
      <c r="A25" s="5" t="str">
        <f t="shared" si="0"/>
        <v> AA 6.109 </v>
      </c>
      <c r="B25" s="2" t="str">
        <f t="shared" si="1"/>
        <v>I</v>
      </c>
      <c r="C25" s="5">
        <f t="shared" si="2"/>
        <v>27455.277999999998</v>
      </c>
      <c r="D25" s="4" t="str">
        <f t="shared" si="3"/>
        <v>vis</v>
      </c>
      <c r="E25" s="30">
        <f>VLOOKUP(C25,Active!C$21:E$973,3,FALSE)</f>
        <v>-8246.9863258038949</v>
      </c>
      <c r="F25" s="2" t="s">
        <v>59</v>
      </c>
      <c r="G25" s="4" t="str">
        <f t="shared" si="4"/>
        <v>27455.278</v>
      </c>
      <c r="H25" s="5">
        <f t="shared" si="5"/>
        <v>-8247</v>
      </c>
      <c r="I25" s="31" t="s">
        <v>70</v>
      </c>
      <c r="J25" s="32" t="s">
        <v>71</v>
      </c>
      <c r="K25" s="31">
        <v>-8247</v>
      </c>
      <c r="L25" s="31" t="s">
        <v>72</v>
      </c>
      <c r="M25" s="32" t="s">
        <v>64</v>
      </c>
      <c r="N25" s="32"/>
      <c r="O25" s="33" t="s">
        <v>65</v>
      </c>
      <c r="P25" s="33" t="s">
        <v>66</v>
      </c>
    </row>
    <row r="26" spans="1:16" ht="12.75" customHeight="1" thickBot="1" x14ac:dyDescent="0.25">
      <c r="A26" s="5" t="str">
        <f t="shared" si="0"/>
        <v> AA 6.109 </v>
      </c>
      <c r="B26" s="2" t="str">
        <f t="shared" si="1"/>
        <v>I</v>
      </c>
      <c r="C26" s="5">
        <f t="shared" si="2"/>
        <v>27507.395</v>
      </c>
      <c r="D26" s="4" t="str">
        <f t="shared" si="3"/>
        <v>vis</v>
      </c>
      <c r="E26" s="30">
        <f>VLOOKUP(C26,Active!C$21:E$973,3,FALSE)</f>
        <v>-8190.9861624785899</v>
      </c>
      <c r="F26" s="2" t="s">
        <v>59</v>
      </c>
      <c r="G26" s="4" t="str">
        <f t="shared" si="4"/>
        <v>27507.395</v>
      </c>
      <c r="H26" s="5">
        <f t="shared" si="5"/>
        <v>-8191</v>
      </c>
      <c r="I26" s="31" t="s">
        <v>73</v>
      </c>
      <c r="J26" s="32" t="s">
        <v>74</v>
      </c>
      <c r="K26" s="31">
        <v>-8191</v>
      </c>
      <c r="L26" s="31" t="s">
        <v>72</v>
      </c>
      <c r="M26" s="32" t="s">
        <v>64</v>
      </c>
      <c r="N26" s="32"/>
      <c r="O26" s="33" t="s">
        <v>65</v>
      </c>
      <c r="P26" s="33" t="s">
        <v>66</v>
      </c>
    </row>
    <row r="27" spans="1:16" ht="12.75" customHeight="1" thickBot="1" x14ac:dyDescent="0.25">
      <c r="A27" s="5" t="str">
        <f t="shared" si="0"/>
        <v> AA 6.109 </v>
      </c>
      <c r="B27" s="2" t="str">
        <f t="shared" si="1"/>
        <v>I</v>
      </c>
      <c r="C27" s="5">
        <f t="shared" si="2"/>
        <v>27534.382000000001</v>
      </c>
      <c r="D27" s="4" t="str">
        <f t="shared" si="3"/>
        <v>vis</v>
      </c>
      <c r="E27" s="30">
        <f>VLOOKUP(C27,Active!C$21:E$973,3,FALSE)</f>
        <v>-8161.9883996054386</v>
      </c>
      <c r="F27" s="2" t="s">
        <v>59</v>
      </c>
      <c r="G27" s="4" t="str">
        <f t="shared" si="4"/>
        <v>27534.382</v>
      </c>
      <c r="H27" s="5">
        <f t="shared" si="5"/>
        <v>-8162</v>
      </c>
      <c r="I27" s="31" t="s">
        <v>75</v>
      </c>
      <c r="J27" s="32" t="s">
        <v>76</v>
      </c>
      <c r="K27" s="31">
        <v>-8162</v>
      </c>
      <c r="L27" s="31" t="s">
        <v>77</v>
      </c>
      <c r="M27" s="32" t="s">
        <v>64</v>
      </c>
      <c r="N27" s="32"/>
      <c r="O27" s="33" t="s">
        <v>65</v>
      </c>
      <c r="P27" s="33" t="s">
        <v>66</v>
      </c>
    </row>
    <row r="28" spans="1:16" ht="12.75" customHeight="1" thickBot="1" x14ac:dyDescent="0.25">
      <c r="A28" s="5" t="str">
        <f t="shared" si="0"/>
        <v> AA 6.109 </v>
      </c>
      <c r="B28" s="2" t="str">
        <f t="shared" si="1"/>
        <v>I</v>
      </c>
      <c r="C28" s="5">
        <f t="shared" si="2"/>
        <v>27535.286</v>
      </c>
      <c r="D28" s="4" t="str">
        <f t="shared" si="3"/>
        <v>vis</v>
      </c>
      <c r="E28" s="30">
        <f>VLOOKUP(C28,Active!C$21:E$973,3,FALSE)</f>
        <v>-8161.0170438549922</v>
      </c>
      <c r="F28" s="2" t="s">
        <v>59</v>
      </c>
      <c r="G28" s="4" t="str">
        <f t="shared" si="4"/>
        <v>27535.286</v>
      </c>
      <c r="H28" s="5">
        <f t="shared" si="5"/>
        <v>-8161</v>
      </c>
      <c r="I28" s="31" t="s">
        <v>78</v>
      </c>
      <c r="J28" s="32" t="s">
        <v>79</v>
      </c>
      <c r="K28" s="31">
        <v>-8161</v>
      </c>
      <c r="L28" s="31" t="s">
        <v>80</v>
      </c>
      <c r="M28" s="32" t="s">
        <v>64</v>
      </c>
      <c r="N28" s="32"/>
      <c r="O28" s="33" t="s">
        <v>65</v>
      </c>
      <c r="P28" s="33" t="s">
        <v>66</v>
      </c>
    </row>
    <row r="29" spans="1:16" ht="12.75" customHeight="1" thickBot="1" x14ac:dyDescent="0.25">
      <c r="A29" s="5" t="str">
        <f t="shared" si="0"/>
        <v> AA 6.109 </v>
      </c>
      <c r="B29" s="2" t="str">
        <f t="shared" si="1"/>
        <v>I</v>
      </c>
      <c r="C29" s="5">
        <f t="shared" si="2"/>
        <v>27692.561000000002</v>
      </c>
      <c r="D29" s="4" t="str">
        <f t="shared" si="3"/>
        <v>vis</v>
      </c>
      <c r="E29" s="30">
        <f>VLOOKUP(C29,Active!C$21:E$973,3,FALSE)</f>
        <v>-7992.0237079571643</v>
      </c>
      <c r="F29" s="2" t="s">
        <v>59</v>
      </c>
      <c r="G29" s="4" t="str">
        <f t="shared" si="4"/>
        <v>27692.561</v>
      </c>
      <c r="H29" s="5">
        <f t="shared" si="5"/>
        <v>-7992</v>
      </c>
      <c r="I29" s="31" t="s">
        <v>81</v>
      </c>
      <c r="J29" s="32" t="s">
        <v>82</v>
      </c>
      <c r="K29" s="31">
        <v>-7992</v>
      </c>
      <c r="L29" s="31" t="s">
        <v>83</v>
      </c>
      <c r="M29" s="32" t="s">
        <v>64</v>
      </c>
      <c r="N29" s="32"/>
      <c r="O29" s="33" t="s">
        <v>65</v>
      </c>
      <c r="P29" s="33" t="s">
        <v>66</v>
      </c>
    </row>
    <row r="30" spans="1:16" ht="12.75" customHeight="1" thickBot="1" x14ac:dyDescent="0.25">
      <c r="A30" s="5" t="str">
        <f t="shared" si="0"/>
        <v> AA 6.109 </v>
      </c>
      <c r="B30" s="2" t="str">
        <f t="shared" si="1"/>
        <v>I</v>
      </c>
      <c r="C30" s="5">
        <f t="shared" si="2"/>
        <v>27693.504000000001</v>
      </c>
      <c r="D30" s="4" t="str">
        <f t="shared" si="3"/>
        <v>vis</v>
      </c>
      <c r="E30" s="30">
        <f>VLOOKUP(C30,Active!C$21:E$973,3,FALSE)</f>
        <v>-7991.0104463723501</v>
      </c>
      <c r="F30" s="2" t="s">
        <v>59</v>
      </c>
      <c r="G30" s="4" t="str">
        <f t="shared" si="4"/>
        <v>27693.504</v>
      </c>
      <c r="H30" s="5">
        <f t="shared" si="5"/>
        <v>-7991</v>
      </c>
      <c r="I30" s="31" t="s">
        <v>84</v>
      </c>
      <c r="J30" s="32" t="s">
        <v>85</v>
      </c>
      <c r="K30" s="31">
        <v>-7991</v>
      </c>
      <c r="L30" s="31" t="s">
        <v>86</v>
      </c>
      <c r="M30" s="32" t="s">
        <v>64</v>
      </c>
      <c r="N30" s="32"/>
      <c r="O30" s="33" t="s">
        <v>65</v>
      </c>
      <c r="P30" s="33" t="s">
        <v>66</v>
      </c>
    </row>
    <row r="31" spans="1:16" ht="12.75" customHeight="1" thickBot="1" x14ac:dyDescent="0.25">
      <c r="A31" s="5" t="str">
        <f t="shared" si="0"/>
        <v> AA 6.109 </v>
      </c>
      <c r="B31" s="2" t="str">
        <f t="shared" si="1"/>
        <v>I</v>
      </c>
      <c r="C31" s="5">
        <f t="shared" si="2"/>
        <v>28165.344000000001</v>
      </c>
      <c r="D31" s="4" t="str">
        <f t="shared" si="3"/>
        <v>vis</v>
      </c>
      <c r="E31" s="30">
        <f>VLOOKUP(C31,Active!C$21:E$973,3,FALSE)</f>
        <v>-7484.0143210502665</v>
      </c>
      <c r="F31" s="2" t="s">
        <v>59</v>
      </c>
      <c r="G31" s="4" t="str">
        <f t="shared" si="4"/>
        <v>28165.344</v>
      </c>
      <c r="H31" s="5">
        <f t="shared" si="5"/>
        <v>-7484</v>
      </c>
      <c r="I31" s="31" t="s">
        <v>87</v>
      </c>
      <c r="J31" s="32" t="s">
        <v>88</v>
      </c>
      <c r="K31" s="31">
        <v>-7484</v>
      </c>
      <c r="L31" s="31" t="s">
        <v>89</v>
      </c>
      <c r="M31" s="32" t="s">
        <v>64</v>
      </c>
      <c r="N31" s="32"/>
      <c r="O31" s="33" t="s">
        <v>65</v>
      </c>
      <c r="P31" s="33" t="s">
        <v>66</v>
      </c>
    </row>
    <row r="32" spans="1:16" ht="12.75" customHeight="1" thickBot="1" x14ac:dyDescent="0.25">
      <c r="A32" s="5" t="str">
        <f t="shared" si="0"/>
        <v> AAC 4.83 </v>
      </c>
      <c r="B32" s="2" t="str">
        <f t="shared" si="1"/>
        <v>I</v>
      </c>
      <c r="C32" s="5">
        <f t="shared" si="2"/>
        <v>32539.49</v>
      </c>
      <c r="D32" s="4" t="str">
        <f t="shared" si="3"/>
        <v>vis</v>
      </c>
      <c r="E32" s="30">
        <f>VLOOKUP(C32,Active!C$21:E$973,3,FALSE)</f>
        <v>-2783.9569422924405</v>
      </c>
      <c r="F32" s="2" t="s">
        <v>59</v>
      </c>
      <c r="G32" s="4" t="str">
        <f t="shared" si="4"/>
        <v>32539.490</v>
      </c>
      <c r="H32" s="5">
        <f t="shared" si="5"/>
        <v>-2784</v>
      </c>
      <c r="I32" s="31" t="s">
        <v>90</v>
      </c>
      <c r="J32" s="32" t="s">
        <v>91</v>
      </c>
      <c r="K32" s="31">
        <v>-2784</v>
      </c>
      <c r="L32" s="31" t="s">
        <v>92</v>
      </c>
      <c r="M32" s="32" t="s">
        <v>64</v>
      </c>
      <c r="N32" s="32"/>
      <c r="O32" s="33" t="s">
        <v>93</v>
      </c>
      <c r="P32" s="33" t="s">
        <v>94</v>
      </c>
    </row>
    <row r="33" spans="1:16" ht="12.75" customHeight="1" thickBot="1" x14ac:dyDescent="0.25">
      <c r="A33" s="5" t="str">
        <f t="shared" si="0"/>
        <v> AA 6.109 </v>
      </c>
      <c r="B33" s="2" t="str">
        <f t="shared" si="1"/>
        <v>I</v>
      </c>
      <c r="C33" s="5">
        <f t="shared" si="2"/>
        <v>32609.275000000001</v>
      </c>
      <c r="D33" s="4" t="str">
        <f t="shared" si="3"/>
        <v>vis</v>
      </c>
      <c r="E33" s="30">
        <f>VLOOKUP(C33,Active!C$21:E$973,3,FALSE)</f>
        <v>-2708.9723614904706</v>
      </c>
      <c r="F33" s="2" t="s">
        <v>59</v>
      </c>
      <c r="G33" s="4" t="str">
        <f t="shared" si="4"/>
        <v>32609.275</v>
      </c>
      <c r="H33" s="5">
        <f t="shared" si="5"/>
        <v>-2709</v>
      </c>
      <c r="I33" s="31" t="s">
        <v>95</v>
      </c>
      <c r="J33" s="32" t="s">
        <v>96</v>
      </c>
      <c r="K33" s="31">
        <v>-2709</v>
      </c>
      <c r="L33" s="31" t="s">
        <v>97</v>
      </c>
      <c r="M33" s="32" t="s">
        <v>64</v>
      </c>
      <c r="N33" s="32"/>
      <c r="O33" s="33" t="s">
        <v>93</v>
      </c>
      <c r="P33" s="33" t="s">
        <v>66</v>
      </c>
    </row>
    <row r="34" spans="1:16" ht="12.75" customHeight="1" thickBot="1" x14ac:dyDescent="0.25">
      <c r="A34" s="5" t="str">
        <f t="shared" si="0"/>
        <v> AA 6.109 </v>
      </c>
      <c r="B34" s="2" t="str">
        <f t="shared" si="1"/>
        <v>I</v>
      </c>
      <c r="C34" s="5">
        <f t="shared" si="2"/>
        <v>32794.474000000002</v>
      </c>
      <c r="D34" s="4" t="str">
        <f t="shared" si="3"/>
        <v>vis</v>
      </c>
      <c r="E34" s="30">
        <f>VLOOKUP(C34,Active!C$21:E$973,3,FALSE)</f>
        <v>-2509.9744481861194</v>
      </c>
      <c r="F34" s="2" t="s">
        <v>59</v>
      </c>
      <c r="G34" s="4" t="str">
        <f t="shared" si="4"/>
        <v>32794.474</v>
      </c>
      <c r="H34" s="5">
        <f t="shared" si="5"/>
        <v>-2510</v>
      </c>
      <c r="I34" s="31" t="s">
        <v>98</v>
      </c>
      <c r="J34" s="32" t="s">
        <v>99</v>
      </c>
      <c r="K34" s="31">
        <v>-2510</v>
      </c>
      <c r="L34" s="31" t="s">
        <v>100</v>
      </c>
      <c r="M34" s="32" t="s">
        <v>64</v>
      </c>
      <c r="N34" s="32"/>
      <c r="O34" s="33" t="s">
        <v>93</v>
      </c>
      <c r="P34" s="33" t="s">
        <v>66</v>
      </c>
    </row>
    <row r="35" spans="1:16" ht="12.75" customHeight="1" thickBot="1" x14ac:dyDescent="0.25">
      <c r="A35" s="5" t="str">
        <f t="shared" si="0"/>
        <v> AAC 4.115 </v>
      </c>
      <c r="B35" s="2" t="str">
        <f t="shared" si="1"/>
        <v>I</v>
      </c>
      <c r="C35" s="5">
        <f t="shared" si="2"/>
        <v>32807.506000000001</v>
      </c>
      <c r="D35" s="4" t="str">
        <f t="shared" si="3"/>
        <v>vis</v>
      </c>
      <c r="E35" s="30">
        <f>VLOOKUP(C35,Active!C$21:E$973,3,FALSE)</f>
        <v>-2495.9714524562173</v>
      </c>
      <c r="F35" s="2" t="s">
        <v>59</v>
      </c>
      <c r="G35" s="4" t="str">
        <f t="shared" si="4"/>
        <v>32807.506</v>
      </c>
      <c r="H35" s="5">
        <f t="shared" si="5"/>
        <v>-2496</v>
      </c>
      <c r="I35" s="31" t="s">
        <v>101</v>
      </c>
      <c r="J35" s="32" t="s">
        <v>102</v>
      </c>
      <c r="K35" s="31">
        <v>-2496</v>
      </c>
      <c r="L35" s="31" t="s">
        <v>103</v>
      </c>
      <c r="M35" s="32" t="s">
        <v>64</v>
      </c>
      <c r="N35" s="32"/>
      <c r="O35" s="33" t="s">
        <v>93</v>
      </c>
      <c r="P35" s="33" t="s">
        <v>104</v>
      </c>
    </row>
    <row r="36" spans="1:16" ht="12.75" customHeight="1" thickBot="1" x14ac:dyDescent="0.25">
      <c r="A36" s="5" t="str">
        <f t="shared" si="0"/>
        <v> AA 6.109 </v>
      </c>
      <c r="B36" s="2" t="str">
        <f t="shared" si="1"/>
        <v>I</v>
      </c>
      <c r="C36" s="5">
        <f t="shared" si="2"/>
        <v>32888.449000000001</v>
      </c>
      <c r="D36" s="4" t="str">
        <f t="shared" si="3"/>
        <v>vis</v>
      </c>
      <c r="E36" s="30">
        <f>VLOOKUP(C36,Active!C$21:E$973,3,FALSE)</f>
        <v>-2408.9975049910913</v>
      </c>
      <c r="F36" s="2" t="s">
        <v>59</v>
      </c>
      <c r="G36" s="4" t="str">
        <f t="shared" si="4"/>
        <v>32888.449</v>
      </c>
      <c r="H36" s="5">
        <f t="shared" si="5"/>
        <v>-2409</v>
      </c>
      <c r="I36" s="31" t="s">
        <v>105</v>
      </c>
      <c r="J36" s="32" t="s">
        <v>106</v>
      </c>
      <c r="K36" s="31">
        <v>-2409</v>
      </c>
      <c r="L36" s="31" t="s">
        <v>107</v>
      </c>
      <c r="M36" s="32" t="s">
        <v>64</v>
      </c>
      <c r="N36" s="32"/>
      <c r="O36" s="33" t="s">
        <v>93</v>
      </c>
      <c r="P36" s="33" t="s">
        <v>66</v>
      </c>
    </row>
    <row r="37" spans="1:16" ht="12.75" customHeight="1" thickBot="1" x14ac:dyDescent="0.25">
      <c r="A37" s="5" t="str">
        <f t="shared" si="0"/>
        <v> AAC 4.115 </v>
      </c>
      <c r="B37" s="2" t="str">
        <f t="shared" si="1"/>
        <v>I</v>
      </c>
      <c r="C37" s="5">
        <f t="shared" si="2"/>
        <v>32889.385000000002</v>
      </c>
      <c r="D37" s="4" t="str">
        <f t="shared" si="3"/>
        <v>vis</v>
      </c>
      <c r="E37" s="30">
        <f>VLOOKUP(C37,Active!C$21:E$973,3,FALSE)</f>
        <v>-2407.9917649662902</v>
      </c>
      <c r="F37" s="2" t="s">
        <v>59</v>
      </c>
      <c r="G37" s="4" t="str">
        <f t="shared" si="4"/>
        <v>32889.385</v>
      </c>
      <c r="H37" s="5">
        <f t="shared" si="5"/>
        <v>-2408</v>
      </c>
      <c r="I37" s="31" t="s">
        <v>108</v>
      </c>
      <c r="J37" s="32" t="s">
        <v>109</v>
      </c>
      <c r="K37" s="31">
        <v>-2408</v>
      </c>
      <c r="L37" s="31" t="s">
        <v>110</v>
      </c>
      <c r="M37" s="32" t="s">
        <v>64</v>
      </c>
      <c r="N37" s="32"/>
      <c r="O37" s="33" t="s">
        <v>93</v>
      </c>
      <c r="P37" s="33" t="s">
        <v>104</v>
      </c>
    </row>
    <row r="38" spans="1:16" ht="12.75" customHeight="1" thickBot="1" x14ac:dyDescent="0.25">
      <c r="A38" s="5" t="str">
        <f t="shared" si="0"/>
        <v> AAC 5.6 </v>
      </c>
      <c r="B38" s="2" t="str">
        <f t="shared" si="1"/>
        <v>I</v>
      </c>
      <c r="C38" s="5">
        <f t="shared" si="2"/>
        <v>33211.377999999997</v>
      </c>
      <c r="D38" s="4" t="str">
        <f t="shared" si="3"/>
        <v>vis</v>
      </c>
      <c r="E38" s="30">
        <f>VLOOKUP(C38,Active!C$21:E$973,3,FALSE)</f>
        <v>-2062.0075258580518</v>
      </c>
      <c r="F38" s="2" t="s">
        <v>59</v>
      </c>
      <c r="G38" s="4" t="str">
        <f t="shared" si="4"/>
        <v>33211.378</v>
      </c>
      <c r="H38" s="5">
        <f t="shared" si="5"/>
        <v>-2062</v>
      </c>
      <c r="I38" s="31" t="s">
        <v>111</v>
      </c>
      <c r="J38" s="32" t="s">
        <v>112</v>
      </c>
      <c r="K38" s="31">
        <v>-2062</v>
      </c>
      <c r="L38" s="31" t="s">
        <v>113</v>
      </c>
      <c r="M38" s="32" t="s">
        <v>64</v>
      </c>
      <c r="N38" s="32"/>
      <c r="O38" s="33" t="s">
        <v>93</v>
      </c>
      <c r="P38" s="33" t="s">
        <v>114</v>
      </c>
    </row>
    <row r="39" spans="1:16" ht="12.75" customHeight="1" thickBot="1" x14ac:dyDescent="0.25">
      <c r="A39" s="5" t="str">
        <f t="shared" si="0"/>
        <v> AA 6.109 </v>
      </c>
      <c r="B39" s="2" t="str">
        <f t="shared" si="1"/>
        <v>I</v>
      </c>
      <c r="C39" s="5">
        <f t="shared" si="2"/>
        <v>33265.366999999998</v>
      </c>
      <c r="D39" s="4" t="str">
        <f t="shared" si="3"/>
        <v>vis</v>
      </c>
      <c r="E39" s="30">
        <f>VLOOKUP(C39,Active!C$21:E$973,3,FALSE)</f>
        <v>-2003.9958824831476</v>
      </c>
      <c r="F39" s="2" t="s">
        <v>59</v>
      </c>
      <c r="G39" s="4" t="str">
        <f t="shared" si="4"/>
        <v>33265.367</v>
      </c>
      <c r="H39" s="5">
        <f t="shared" si="5"/>
        <v>-2004</v>
      </c>
      <c r="I39" s="31" t="s">
        <v>115</v>
      </c>
      <c r="J39" s="32" t="s">
        <v>116</v>
      </c>
      <c r="K39" s="31">
        <v>-2004</v>
      </c>
      <c r="L39" s="31" t="s">
        <v>117</v>
      </c>
      <c r="M39" s="32" t="s">
        <v>64</v>
      </c>
      <c r="N39" s="32"/>
      <c r="O39" s="33" t="s">
        <v>93</v>
      </c>
      <c r="P39" s="33" t="s">
        <v>66</v>
      </c>
    </row>
    <row r="40" spans="1:16" ht="12.75" customHeight="1" thickBot="1" x14ac:dyDescent="0.25">
      <c r="A40" s="5" t="str">
        <f t="shared" si="0"/>
        <v> AA 6.109 </v>
      </c>
      <c r="B40" s="2" t="str">
        <f t="shared" si="1"/>
        <v>I</v>
      </c>
      <c r="C40" s="5">
        <f t="shared" si="2"/>
        <v>33305.368000000002</v>
      </c>
      <c r="D40" s="4" t="str">
        <f t="shared" si="3"/>
        <v>vis</v>
      </c>
      <c r="E40" s="30">
        <f>VLOOKUP(C40,Active!C$21:E$973,3,FALSE)</f>
        <v>-1961.0144650344139</v>
      </c>
      <c r="F40" s="2" t="s">
        <v>59</v>
      </c>
      <c r="G40" s="4" t="str">
        <f t="shared" si="4"/>
        <v>33305.368</v>
      </c>
      <c r="H40" s="5">
        <f t="shared" si="5"/>
        <v>-1961</v>
      </c>
      <c r="I40" s="31" t="s">
        <v>118</v>
      </c>
      <c r="J40" s="32" t="s">
        <v>119</v>
      </c>
      <c r="K40" s="31">
        <v>-1961</v>
      </c>
      <c r="L40" s="31" t="s">
        <v>89</v>
      </c>
      <c r="M40" s="32" t="s">
        <v>64</v>
      </c>
      <c r="N40" s="32"/>
      <c r="O40" s="33" t="s">
        <v>93</v>
      </c>
      <c r="P40" s="33" t="s">
        <v>66</v>
      </c>
    </row>
    <row r="41" spans="1:16" ht="12.75" customHeight="1" thickBot="1" x14ac:dyDescent="0.25">
      <c r="A41" s="5" t="str">
        <f t="shared" si="0"/>
        <v> AAC 5.9 </v>
      </c>
      <c r="B41" s="2" t="str">
        <f t="shared" si="1"/>
        <v>I</v>
      </c>
      <c r="C41" s="5">
        <f t="shared" si="2"/>
        <v>33306.305</v>
      </c>
      <c r="D41" s="4" t="str">
        <f t="shared" si="3"/>
        <v>vis</v>
      </c>
      <c r="E41" s="30">
        <f>VLOOKUP(C41,Active!C$21:E$973,3,FALSE)</f>
        <v>-1960.0076505010427</v>
      </c>
      <c r="F41" s="2" t="s">
        <v>59</v>
      </c>
      <c r="G41" s="4" t="str">
        <f t="shared" si="4"/>
        <v>33306.305</v>
      </c>
      <c r="H41" s="5">
        <f t="shared" si="5"/>
        <v>-1960</v>
      </c>
      <c r="I41" s="31" t="s">
        <v>120</v>
      </c>
      <c r="J41" s="32" t="s">
        <v>121</v>
      </c>
      <c r="K41" s="31">
        <v>-1960</v>
      </c>
      <c r="L41" s="31" t="s">
        <v>113</v>
      </c>
      <c r="M41" s="32" t="s">
        <v>64</v>
      </c>
      <c r="N41" s="32"/>
      <c r="O41" s="33" t="s">
        <v>93</v>
      </c>
      <c r="P41" s="33" t="s">
        <v>122</v>
      </c>
    </row>
    <row r="42" spans="1:16" ht="12.75" customHeight="1" thickBot="1" x14ac:dyDescent="0.25">
      <c r="A42" s="5" t="str">
        <f t="shared" si="0"/>
        <v> AA 6.109 </v>
      </c>
      <c r="B42" s="2" t="str">
        <f t="shared" si="1"/>
        <v>I</v>
      </c>
      <c r="C42" s="5">
        <f t="shared" si="2"/>
        <v>33332.362000000001</v>
      </c>
      <c r="D42" s="4" t="str">
        <f t="shared" si="3"/>
        <v>vis</v>
      </c>
      <c r="E42" s="30">
        <f>VLOOKUP(C42,Active!C$21:E$973,3,FALSE)</f>
        <v>-1932.0091806012506</v>
      </c>
      <c r="F42" s="2" t="s">
        <v>59</v>
      </c>
      <c r="G42" s="4" t="str">
        <f t="shared" si="4"/>
        <v>33332.362</v>
      </c>
      <c r="H42" s="5">
        <f t="shared" si="5"/>
        <v>-1932</v>
      </c>
      <c r="I42" s="31" t="s">
        <v>123</v>
      </c>
      <c r="J42" s="32" t="s">
        <v>124</v>
      </c>
      <c r="K42" s="31">
        <v>-1932</v>
      </c>
      <c r="L42" s="31" t="s">
        <v>125</v>
      </c>
      <c r="M42" s="32" t="s">
        <v>64</v>
      </c>
      <c r="N42" s="32"/>
      <c r="O42" s="33" t="s">
        <v>93</v>
      </c>
      <c r="P42" s="33" t="s">
        <v>66</v>
      </c>
    </row>
    <row r="43" spans="1:16" ht="12.75" customHeight="1" thickBot="1" x14ac:dyDescent="0.25">
      <c r="A43" s="5" t="str">
        <f t="shared" si="0"/>
        <v> AA 6.109 </v>
      </c>
      <c r="B43" s="2" t="str">
        <f t="shared" si="1"/>
        <v>I</v>
      </c>
      <c r="C43" s="5">
        <f t="shared" si="2"/>
        <v>33570.618999999999</v>
      </c>
      <c r="D43" s="4" t="str">
        <f t="shared" si="3"/>
        <v>vis</v>
      </c>
      <c r="E43" s="30">
        <f>VLOOKUP(C43,Active!C$21:E$973,3,FALSE)</f>
        <v>-1675.9999914039324</v>
      </c>
      <c r="F43" s="2" t="s">
        <v>59</v>
      </c>
      <c r="G43" s="4" t="str">
        <f t="shared" si="4"/>
        <v>33570.619</v>
      </c>
      <c r="H43" s="5">
        <f t="shared" si="5"/>
        <v>-1676</v>
      </c>
      <c r="I43" s="31" t="s">
        <v>126</v>
      </c>
      <c r="J43" s="32" t="s">
        <v>127</v>
      </c>
      <c r="K43" s="31">
        <v>-1676</v>
      </c>
      <c r="L43" s="31" t="s">
        <v>128</v>
      </c>
      <c r="M43" s="32" t="s">
        <v>64</v>
      </c>
      <c r="N43" s="32"/>
      <c r="O43" s="33" t="s">
        <v>93</v>
      </c>
      <c r="P43" s="33" t="s">
        <v>66</v>
      </c>
    </row>
    <row r="44" spans="1:16" ht="12.75" customHeight="1" thickBot="1" x14ac:dyDescent="0.25">
      <c r="A44" s="5" t="str">
        <f t="shared" si="0"/>
        <v> AAC 5.9 </v>
      </c>
      <c r="B44" s="2" t="str">
        <f t="shared" si="1"/>
        <v>I</v>
      </c>
      <c r="C44" s="5">
        <f t="shared" si="2"/>
        <v>33599.47</v>
      </c>
      <c r="D44" s="4" t="str">
        <f t="shared" si="3"/>
        <v>vis</v>
      </c>
      <c r="E44" s="30">
        <f>VLOOKUP(C44,Active!C$21:E$973,3,FALSE)</f>
        <v>-1644.9993445497685</v>
      </c>
      <c r="F44" s="2" t="s">
        <v>59</v>
      </c>
      <c r="G44" s="4" t="str">
        <f t="shared" si="4"/>
        <v>33599.470</v>
      </c>
      <c r="H44" s="5">
        <f t="shared" si="5"/>
        <v>-1645</v>
      </c>
      <c r="I44" s="31" t="s">
        <v>129</v>
      </c>
      <c r="J44" s="32" t="s">
        <v>130</v>
      </c>
      <c r="K44" s="31">
        <v>-1645</v>
      </c>
      <c r="L44" s="31" t="s">
        <v>131</v>
      </c>
      <c r="M44" s="32" t="s">
        <v>64</v>
      </c>
      <c r="N44" s="32"/>
      <c r="O44" s="33" t="s">
        <v>93</v>
      </c>
      <c r="P44" s="33" t="s">
        <v>122</v>
      </c>
    </row>
    <row r="45" spans="1:16" ht="12.75" customHeight="1" thickBot="1" x14ac:dyDescent="0.25">
      <c r="A45" s="5" t="str">
        <f t="shared" si="0"/>
        <v> AAC 5.12 </v>
      </c>
      <c r="B45" s="2" t="str">
        <f t="shared" si="1"/>
        <v>I</v>
      </c>
      <c r="C45" s="5">
        <f t="shared" si="2"/>
        <v>33949.379000000001</v>
      </c>
      <c r="D45" s="4" t="str">
        <f t="shared" si="3"/>
        <v>vis</v>
      </c>
      <c r="E45" s="30">
        <f>VLOOKUP(C45,Active!C$21:E$973,3,FALSE)</f>
        <v>-1269.01912410359</v>
      </c>
      <c r="F45" s="2" t="s">
        <v>59</v>
      </c>
      <c r="G45" s="4" t="str">
        <f t="shared" si="4"/>
        <v>33949.379</v>
      </c>
      <c r="H45" s="5">
        <f t="shared" si="5"/>
        <v>-1269</v>
      </c>
      <c r="I45" s="31" t="s">
        <v>132</v>
      </c>
      <c r="J45" s="32" t="s">
        <v>133</v>
      </c>
      <c r="K45" s="31">
        <v>-1269</v>
      </c>
      <c r="L45" s="31" t="s">
        <v>134</v>
      </c>
      <c r="M45" s="32" t="s">
        <v>64</v>
      </c>
      <c r="N45" s="32"/>
      <c r="O45" s="33" t="s">
        <v>93</v>
      </c>
      <c r="P45" s="33" t="s">
        <v>135</v>
      </c>
    </row>
    <row r="46" spans="1:16" ht="12.75" customHeight="1" thickBot="1" x14ac:dyDescent="0.25">
      <c r="A46" s="5" t="str">
        <f t="shared" si="0"/>
        <v> AA 6.109 </v>
      </c>
      <c r="B46" s="2" t="str">
        <f t="shared" si="1"/>
        <v>I</v>
      </c>
      <c r="C46" s="5">
        <f t="shared" si="2"/>
        <v>34043.375</v>
      </c>
      <c r="D46" s="4" t="str">
        <f t="shared" si="3"/>
        <v>vis</v>
      </c>
      <c r="E46" s="30">
        <f>VLOOKUP(C46,Active!C$21:E$973,3,FALSE)</f>
        <v>-1168.0196162285174</v>
      </c>
      <c r="F46" s="2" t="s">
        <v>59</v>
      </c>
      <c r="G46" s="4" t="str">
        <f t="shared" si="4"/>
        <v>34043.375</v>
      </c>
      <c r="H46" s="5">
        <f t="shared" si="5"/>
        <v>-1168</v>
      </c>
      <c r="I46" s="31" t="s">
        <v>136</v>
      </c>
      <c r="J46" s="32" t="s">
        <v>137</v>
      </c>
      <c r="K46" s="31">
        <v>-1168</v>
      </c>
      <c r="L46" s="31" t="s">
        <v>134</v>
      </c>
      <c r="M46" s="32" t="s">
        <v>64</v>
      </c>
      <c r="N46" s="32"/>
      <c r="O46" s="33" t="s">
        <v>93</v>
      </c>
      <c r="P46" s="33" t="s">
        <v>66</v>
      </c>
    </row>
    <row r="47" spans="1:16" ht="12.75" customHeight="1" thickBot="1" x14ac:dyDescent="0.25">
      <c r="A47" s="5" t="str">
        <f t="shared" si="0"/>
        <v> AAC 5.192 </v>
      </c>
      <c r="B47" s="2" t="str">
        <f t="shared" si="1"/>
        <v>I</v>
      </c>
      <c r="C47" s="5">
        <f t="shared" si="2"/>
        <v>34419.379999999997</v>
      </c>
      <c r="D47" s="4" t="str">
        <f t="shared" si="3"/>
        <v>vis</v>
      </c>
      <c r="E47" s="30">
        <f>VLOOKUP(C47,Active!C$21:E$973,3,FALSE)</f>
        <v>-763.99902004818341</v>
      </c>
      <c r="F47" s="2" t="s">
        <v>59</v>
      </c>
      <c r="G47" s="4" t="str">
        <f t="shared" si="4"/>
        <v>34419.380</v>
      </c>
      <c r="H47" s="5">
        <f t="shared" si="5"/>
        <v>-764</v>
      </c>
      <c r="I47" s="31" t="s">
        <v>138</v>
      </c>
      <c r="J47" s="32" t="s">
        <v>139</v>
      </c>
      <c r="K47" s="31">
        <v>-764</v>
      </c>
      <c r="L47" s="31" t="s">
        <v>131</v>
      </c>
      <c r="M47" s="32" t="s">
        <v>64</v>
      </c>
      <c r="N47" s="32"/>
      <c r="O47" s="33" t="s">
        <v>93</v>
      </c>
      <c r="P47" s="33" t="s">
        <v>140</v>
      </c>
    </row>
    <row r="48" spans="1:16" ht="12.75" customHeight="1" thickBot="1" x14ac:dyDescent="0.25">
      <c r="A48" s="5" t="str">
        <f t="shared" si="0"/>
        <v> AAC 5.192 </v>
      </c>
      <c r="B48" s="2" t="str">
        <f t="shared" si="1"/>
        <v>I</v>
      </c>
      <c r="C48" s="5">
        <f t="shared" si="2"/>
        <v>34698.546000000002</v>
      </c>
      <c r="D48" s="4" t="str">
        <f t="shared" si="3"/>
        <v>vis</v>
      </c>
      <c r="E48" s="30">
        <f>VLOOKUP(C48,Active!C$21:E$973,3,FALSE)</f>
        <v>-464.03275961738638</v>
      </c>
      <c r="F48" s="2" t="s">
        <v>59</v>
      </c>
      <c r="G48" s="4" t="str">
        <f t="shared" si="4"/>
        <v>34698.546</v>
      </c>
      <c r="H48" s="5">
        <f t="shared" si="5"/>
        <v>-464</v>
      </c>
      <c r="I48" s="31" t="s">
        <v>141</v>
      </c>
      <c r="J48" s="32" t="s">
        <v>142</v>
      </c>
      <c r="K48" s="31">
        <v>-464</v>
      </c>
      <c r="L48" s="31" t="s">
        <v>143</v>
      </c>
      <c r="M48" s="32" t="s">
        <v>64</v>
      </c>
      <c r="N48" s="32"/>
      <c r="O48" s="33" t="s">
        <v>93</v>
      </c>
      <c r="P48" s="33" t="s">
        <v>140</v>
      </c>
    </row>
    <row r="49" spans="1:16" ht="12.75" customHeight="1" thickBot="1" x14ac:dyDescent="0.25">
      <c r="A49" s="5" t="str">
        <f t="shared" si="0"/>
        <v> AAC 5.195 </v>
      </c>
      <c r="B49" s="2" t="str">
        <f t="shared" si="1"/>
        <v>I</v>
      </c>
      <c r="C49" s="5">
        <f t="shared" si="2"/>
        <v>35075.502999999997</v>
      </c>
      <c r="D49" s="4" t="str">
        <f t="shared" si="3"/>
        <v>vis</v>
      </c>
      <c r="E49" s="30">
        <f>VLOOKUP(C49,Active!C$21:E$973,3,FALSE)</f>
        <v>-58.989231275079206</v>
      </c>
      <c r="F49" s="2" t="s">
        <v>59</v>
      </c>
      <c r="G49" s="4" t="str">
        <f t="shared" si="4"/>
        <v>35075.503</v>
      </c>
      <c r="H49" s="5">
        <f t="shared" si="5"/>
        <v>-59</v>
      </c>
      <c r="I49" s="31" t="s">
        <v>144</v>
      </c>
      <c r="J49" s="32" t="s">
        <v>145</v>
      </c>
      <c r="K49" s="31">
        <v>-59</v>
      </c>
      <c r="L49" s="31" t="s">
        <v>146</v>
      </c>
      <c r="M49" s="32" t="s">
        <v>64</v>
      </c>
      <c r="N49" s="32"/>
      <c r="O49" s="33" t="s">
        <v>93</v>
      </c>
      <c r="P49" s="33" t="s">
        <v>147</v>
      </c>
    </row>
    <row r="50" spans="1:16" ht="12.75" customHeight="1" thickBot="1" x14ac:dyDescent="0.25">
      <c r="A50" s="5" t="str">
        <f t="shared" si="0"/>
        <v> AAC 5.195 </v>
      </c>
      <c r="B50" s="2" t="str">
        <f t="shared" si="1"/>
        <v>I</v>
      </c>
      <c r="C50" s="5">
        <f t="shared" si="2"/>
        <v>35130.387999999999</v>
      </c>
      <c r="D50" s="4" t="str">
        <f t="shared" si="3"/>
        <v>vis</v>
      </c>
      <c r="E50" s="30">
        <f>VLOOKUP(C50,Active!C$21:E$973,3,FALSE)</f>
        <v>-1.4828218315029413E-2</v>
      </c>
      <c r="F50" s="2" t="s">
        <v>59</v>
      </c>
      <c r="G50" s="4" t="str">
        <f t="shared" si="4"/>
        <v>35130.388</v>
      </c>
      <c r="H50" s="5">
        <f t="shared" si="5"/>
        <v>0</v>
      </c>
      <c r="I50" s="31" t="s">
        <v>148</v>
      </c>
      <c r="J50" s="32" t="s">
        <v>149</v>
      </c>
      <c r="K50" s="31">
        <v>0</v>
      </c>
      <c r="L50" s="31" t="s">
        <v>150</v>
      </c>
      <c r="M50" s="32" t="s">
        <v>64</v>
      </c>
      <c r="N50" s="32"/>
      <c r="O50" s="33" t="s">
        <v>93</v>
      </c>
      <c r="P50" s="33" t="s">
        <v>147</v>
      </c>
    </row>
    <row r="51" spans="1:16" ht="12.75" customHeight="1" thickBot="1" x14ac:dyDescent="0.25">
      <c r="A51" s="5" t="str">
        <f t="shared" si="0"/>
        <v> AA 8.192 </v>
      </c>
      <c r="B51" s="2" t="str">
        <f t="shared" si="1"/>
        <v>I</v>
      </c>
      <c r="C51" s="5">
        <f t="shared" si="2"/>
        <v>36163.436000000002</v>
      </c>
      <c r="D51" s="4" t="str">
        <f t="shared" si="3"/>
        <v>vis</v>
      </c>
      <c r="E51" s="30">
        <f>VLOOKUP(C51,Active!C$21:E$973,3,FALSE)</f>
        <v>1110.0041046227527</v>
      </c>
      <c r="F51" s="2" t="s">
        <v>59</v>
      </c>
      <c r="G51" s="4" t="str">
        <f t="shared" si="4"/>
        <v>36163.436</v>
      </c>
      <c r="H51" s="5">
        <f t="shared" si="5"/>
        <v>1110</v>
      </c>
      <c r="I51" s="31" t="s">
        <v>151</v>
      </c>
      <c r="J51" s="32" t="s">
        <v>152</v>
      </c>
      <c r="K51" s="31">
        <v>1110</v>
      </c>
      <c r="L51" s="31" t="s">
        <v>117</v>
      </c>
      <c r="M51" s="32" t="s">
        <v>64</v>
      </c>
      <c r="N51" s="32"/>
      <c r="O51" s="33" t="s">
        <v>93</v>
      </c>
      <c r="P51" s="33" t="s">
        <v>153</v>
      </c>
    </row>
    <row r="52" spans="1:16" ht="12.75" customHeight="1" thickBot="1" x14ac:dyDescent="0.25">
      <c r="A52" s="5" t="str">
        <f t="shared" si="0"/>
        <v>OEJV 0107 </v>
      </c>
      <c r="B52" s="2" t="str">
        <f t="shared" si="1"/>
        <v>I</v>
      </c>
      <c r="C52" s="5">
        <f t="shared" si="2"/>
        <v>53637.513899999998</v>
      </c>
      <c r="D52" s="4" t="str">
        <f t="shared" si="3"/>
        <v>vis</v>
      </c>
      <c r="E52" s="30">
        <f>VLOOKUP(C52,Active!C$21:E$973,3,FALSE)</f>
        <v>19886.050622247913</v>
      </c>
      <c r="F52" s="2" t="s">
        <v>59</v>
      </c>
      <c r="G52" s="4" t="str">
        <f t="shared" si="4"/>
        <v>53637.5139</v>
      </c>
      <c r="H52" s="5">
        <f t="shared" si="5"/>
        <v>19886</v>
      </c>
      <c r="I52" s="31" t="s">
        <v>181</v>
      </c>
      <c r="J52" s="32" t="s">
        <v>182</v>
      </c>
      <c r="K52" s="31" t="s">
        <v>183</v>
      </c>
      <c r="L52" s="31" t="s">
        <v>184</v>
      </c>
      <c r="M52" s="32" t="s">
        <v>185</v>
      </c>
      <c r="N52" s="32" t="s">
        <v>186</v>
      </c>
      <c r="O52" s="33" t="s">
        <v>187</v>
      </c>
      <c r="P52" s="34" t="s">
        <v>188</v>
      </c>
    </row>
    <row r="53" spans="1:16" ht="12.75" customHeight="1" thickBot="1" x14ac:dyDescent="0.25">
      <c r="A53" s="5" t="str">
        <f t="shared" si="0"/>
        <v>IBVS 5741 </v>
      </c>
      <c r="B53" s="2" t="str">
        <f t="shared" si="1"/>
        <v>I</v>
      </c>
      <c r="C53" s="5">
        <f t="shared" si="2"/>
        <v>53705.451399999998</v>
      </c>
      <c r="D53" s="4" t="str">
        <f t="shared" si="3"/>
        <v>vis</v>
      </c>
      <c r="E53" s="30">
        <f>VLOOKUP(C53,Active!C$21:E$973,3,FALSE)</f>
        <v>19959.050048460336</v>
      </c>
      <c r="F53" s="2" t="s">
        <v>59</v>
      </c>
      <c r="G53" s="4" t="str">
        <f t="shared" si="4"/>
        <v>53705.4514</v>
      </c>
      <c r="H53" s="5">
        <f t="shared" si="5"/>
        <v>19959</v>
      </c>
      <c r="I53" s="31" t="s">
        <v>189</v>
      </c>
      <c r="J53" s="32" t="s">
        <v>190</v>
      </c>
      <c r="K53" s="31" t="s">
        <v>191</v>
      </c>
      <c r="L53" s="31" t="s">
        <v>192</v>
      </c>
      <c r="M53" s="32" t="s">
        <v>157</v>
      </c>
      <c r="N53" s="32" t="s">
        <v>173</v>
      </c>
      <c r="O53" s="33" t="s">
        <v>193</v>
      </c>
      <c r="P53" s="34" t="s">
        <v>194</v>
      </c>
    </row>
    <row r="54" spans="1:16" ht="12.75" customHeight="1" thickBot="1" x14ac:dyDescent="0.25">
      <c r="A54" s="5" t="str">
        <f t="shared" si="0"/>
        <v>OEJV 0107 </v>
      </c>
      <c r="B54" s="2" t="str">
        <f t="shared" si="1"/>
        <v>I</v>
      </c>
      <c r="C54" s="5">
        <f t="shared" si="2"/>
        <v>54135.4136</v>
      </c>
      <c r="D54" s="4" t="str">
        <f t="shared" si="3"/>
        <v>vis</v>
      </c>
      <c r="E54" s="30">
        <f>VLOOKUP(C54,Active!C$21:E$973,3,FALSE)</f>
        <v>20421.048118642939</v>
      </c>
      <c r="F54" s="2" t="s">
        <v>59</v>
      </c>
      <c r="G54" s="4" t="str">
        <f t="shared" si="4"/>
        <v>54135.4136</v>
      </c>
      <c r="H54" s="5">
        <f t="shared" si="5"/>
        <v>20421</v>
      </c>
      <c r="I54" s="31" t="s">
        <v>202</v>
      </c>
      <c r="J54" s="32" t="s">
        <v>203</v>
      </c>
      <c r="K54" s="31" t="s">
        <v>204</v>
      </c>
      <c r="L54" s="31" t="s">
        <v>205</v>
      </c>
      <c r="M54" s="32" t="s">
        <v>185</v>
      </c>
      <c r="N54" s="32" t="s">
        <v>186</v>
      </c>
      <c r="O54" s="33" t="s">
        <v>187</v>
      </c>
      <c r="P54" s="34" t="s">
        <v>188</v>
      </c>
    </row>
    <row r="55" spans="1:16" x14ac:dyDescent="0.2">
      <c r="B55" s="2"/>
      <c r="E55" s="30"/>
      <c r="F55" s="2"/>
    </row>
    <row r="56" spans="1:16" x14ac:dyDescent="0.2">
      <c r="B56" s="2"/>
      <c r="E56" s="30"/>
      <c r="F56" s="2"/>
    </row>
    <row r="57" spans="1:16" x14ac:dyDescent="0.2">
      <c r="B57" s="2"/>
      <c r="E57" s="30"/>
      <c r="F57" s="2"/>
    </row>
    <row r="58" spans="1:16" x14ac:dyDescent="0.2">
      <c r="B58" s="2"/>
      <c r="E58" s="30"/>
      <c r="F58" s="2"/>
    </row>
    <row r="59" spans="1:16" x14ac:dyDescent="0.2">
      <c r="B59" s="2"/>
      <c r="E59" s="30"/>
      <c r="F59" s="2"/>
    </row>
    <row r="60" spans="1:16" x14ac:dyDescent="0.2">
      <c r="B60" s="2"/>
      <c r="E60" s="30"/>
      <c r="F60" s="2"/>
    </row>
    <row r="61" spans="1:16" x14ac:dyDescent="0.2">
      <c r="B61" s="2"/>
      <c r="E61" s="30"/>
      <c r="F61" s="2"/>
    </row>
    <row r="62" spans="1:16" x14ac:dyDescent="0.2">
      <c r="B62" s="2"/>
      <c r="F62" s="2"/>
    </row>
    <row r="63" spans="1:16" x14ac:dyDescent="0.2">
      <c r="B63" s="2"/>
      <c r="F63" s="2"/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7" type="noConversion"/>
  <hyperlinks>
    <hyperlink ref="P11" r:id="rId1" display="http://www.bav-astro.de/sfs/BAVM_link.php?BAVMnr=152"/>
    <hyperlink ref="P12" r:id="rId2" display="http://www.bav-astro.de/sfs/BAVM_link.php?BAVMnr=152"/>
    <hyperlink ref="P13" r:id="rId3" display="http://www.bav-astro.de/sfs/BAVM_link.php?BAVMnr=152"/>
    <hyperlink ref="P14" r:id="rId4" display="http://www.konkoly.hu/cgi-bin/IBVS?5502"/>
    <hyperlink ref="P15" r:id="rId5" display="http://www.bav-astro.de/sfs/BAVM_link.php?BAVMnr=158"/>
    <hyperlink ref="P52" r:id="rId6" display="http://var.astro.cz/oejv/issues/oejv0107.pdf"/>
    <hyperlink ref="P53" r:id="rId7" display="http://www.konkoly.hu/cgi-bin/IBVS?5741"/>
    <hyperlink ref="P16" r:id="rId8" display="http://www.bav-astro.de/sfs/BAVM_link.php?BAVMnr=186"/>
    <hyperlink ref="P54" r:id="rId9" display="http://var.astro.cz/oejv/issues/oejv0107.pdf"/>
    <hyperlink ref="P17" r:id="rId10" display="http://www.bav-astro.de/sfs/BAVM_link.php?BAVMnr=209"/>
    <hyperlink ref="P18" r:id="rId11" display="http://www.konkoly.hu/cgi-bin/IBVS?5945"/>
    <hyperlink ref="P19" r:id="rId12" display="http://www.konkoly.hu/cgi-bin/IBVS?6029"/>
    <hyperlink ref="P20" r:id="rId13" display="http://www.bav-astro.de/sfs/BAVM_link.php?BAVMnr=238"/>
    <hyperlink ref="P21" r:id="rId14" display="http://www.bav-astro.de/sfs/BAVM_link.php?BAVMnr=239"/>
    <hyperlink ref="P22" r:id="rId1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2024-03-06T07:25:01Z</dcterms:modified>
</cp:coreProperties>
</file>