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50C8429-9BF4-4891-BD3C-3FB92337B7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45" i="1" l="1"/>
  <c r="Q48" i="1"/>
  <c r="Q53" i="1"/>
  <c r="G19" i="2"/>
  <c r="C19" i="2"/>
  <c r="G18" i="2"/>
  <c r="C18" i="2"/>
  <c r="G22" i="2"/>
  <c r="C22" i="2"/>
  <c r="G17" i="2"/>
  <c r="C17" i="2"/>
  <c r="G16" i="2"/>
  <c r="C16" i="2"/>
  <c r="G15" i="2"/>
  <c r="C15" i="2"/>
  <c r="G21" i="2"/>
  <c r="C21" i="2"/>
  <c r="G14" i="2"/>
  <c r="C14" i="2"/>
  <c r="G13" i="2"/>
  <c r="C13" i="2"/>
  <c r="G20" i="2"/>
  <c r="C20" i="2"/>
  <c r="G12" i="2"/>
  <c r="C12" i="2"/>
  <c r="G11" i="2"/>
  <c r="C11" i="2"/>
  <c r="H19" i="2"/>
  <c r="D19" i="2"/>
  <c r="B19" i="2"/>
  <c r="A19" i="2"/>
  <c r="H18" i="2"/>
  <c r="B18" i="2"/>
  <c r="D18" i="2"/>
  <c r="A18" i="2"/>
  <c r="H22" i="2"/>
  <c r="D22" i="2"/>
  <c r="B22" i="2"/>
  <c r="A22" i="2"/>
  <c r="H17" i="2"/>
  <c r="B17" i="2"/>
  <c r="D17" i="2"/>
  <c r="A17" i="2"/>
  <c r="H16" i="2"/>
  <c r="D16" i="2"/>
  <c r="B16" i="2"/>
  <c r="A16" i="2"/>
  <c r="H15" i="2"/>
  <c r="B15" i="2"/>
  <c r="D15" i="2"/>
  <c r="A15" i="2"/>
  <c r="H21" i="2"/>
  <c r="D21" i="2"/>
  <c r="B21" i="2"/>
  <c r="A21" i="2"/>
  <c r="H14" i="2"/>
  <c r="B14" i="2"/>
  <c r="D14" i="2"/>
  <c r="A14" i="2"/>
  <c r="H13" i="2"/>
  <c r="D13" i="2"/>
  <c r="B13" i="2"/>
  <c r="A13" i="2"/>
  <c r="H20" i="2"/>
  <c r="B20" i="2"/>
  <c r="D20" i="2"/>
  <c r="A20" i="2"/>
  <c r="H12" i="2"/>
  <c r="D12" i="2"/>
  <c r="B12" i="2"/>
  <c r="A12" i="2"/>
  <c r="H11" i="2"/>
  <c r="B11" i="2"/>
  <c r="D11" i="2"/>
  <c r="A11" i="2"/>
  <c r="F11" i="1"/>
  <c r="Q55" i="1"/>
  <c r="Q54" i="1"/>
  <c r="Q52" i="1"/>
  <c r="G11" i="1"/>
  <c r="E22" i="1"/>
  <c r="F22" i="1"/>
  <c r="G22" i="1"/>
  <c r="I22" i="1"/>
  <c r="E26" i="1"/>
  <c r="F26" i="1"/>
  <c r="E30" i="1"/>
  <c r="F30" i="1"/>
  <c r="G30" i="1"/>
  <c r="I30" i="1"/>
  <c r="E34" i="1"/>
  <c r="F34" i="1"/>
  <c r="G34" i="1"/>
  <c r="I34" i="1"/>
  <c r="E38" i="1"/>
  <c r="F38" i="1"/>
  <c r="G38" i="1"/>
  <c r="I38" i="1"/>
  <c r="E14" i="1"/>
  <c r="E15" i="1" s="1"/>
  <c r="C17" i="1"/>
  <c r="Q51" i="1"/>
  <c r="Q50" i="1"/>
  <c r="Q44" i="1"/>
  <c r="Q47" i="1"/>
  <c r="Q49" i="1"/>
  <c r="C7" i="1"/>
  <c r="E45" i="1"/>
  <c r="F45" i="1"/>
  <c r="C8" i="1"/>
  <c r="E23" i="1"/>
  <c r="F23" i="1"/>
  <c r="G23" i="1"/>
  <c r="I23" i="1"/>
  <c r="Q46" i="1"/>
  <c r="Q43" i="1"/>
  <c r="Q42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21" i="1"/>
  <c r="E15" i="2"/>
  <c r="E12" i="2"/>
  <c r="E16" i="2"/>
  <c r="E22" i="2"/>
  <c r="E20" i="2"/>
  <c r="E19" i="2"/>
  <c r="E21" i="2"/>
  <c r="E52" i="1"/>
  <c r="F52" i="1"/>
  <c r="G52" i="1"/>
  <c r="K52" i="1"/>
  <c r="E53" i="1"/>
  <c r="F53" i="1"/>
  <c r="G51" i="1"/>
  <c r="K51" i="1"/>
  <c r="E47" i="1"/>
  <c r="F47" i="1"/>
  <c r="G47" i="1"/>
  <c r="K47" i="1"/>
  <c r="G48" i="1"/>
  <c r="K48" i="1"/>
  <c r="E33" i="1"/>
  <c r="F33" i="1"/>
  <c r="G33" i="1"/>
  <c r="I33" i="1"/>
  <c r="E29" i="1"/>
  <c r="F29" i="1"/>
  <c r="E25" i="1"/>
  <c r="F25" i="1"/>
  <c r="G25" i="1"/>
  <c r="I25" i="1"/>
  <c r="E21" i="1"/>
  <c r="F21" i="1"/>
  <c r="G21" i="1"/>
  <c r="H21" i="1"/>
  <c r="E55" i="1"/>
  <c r="F55" i="1"/>
  <c r="G55" i="1"/>
  <c r="K55" i="1"/>
  <c r="G46" i="1"/>
  <c r="K46" i="1"/>
  <c r="E43" i="1"/>
  <c r="F43" i="1"/>
  <c r="G43" i="1"/>
  <c r="J43" i="1"/>
  <c r="E41" i="1"/>
  <c r="F41" i="1"/>
  <c r="G41" i="1"/>
  <c r="I41" i="1"/>
  <c r="G54" i="1"/>
  <c r="K54" i="1"/>
  <c r="E51" i="1"/>
  <c r="F51" i="1"/>
  <c r="E48" i="1"/>
  <c r="F48" i="1"/>
  <c r="E40" i="1"/>
  <c r="F40" i="1"/>
  <c r="G40" i="1"/>
  <c r="I40" i="1"/>
  <c r="E36" i="1"/>
  <c r="F36" i="1"/>
  <c r="G36" i="1"/>
  <c r="I36" i="1"/>
  <c r="E32" i="1"/>
  <c r="F32" i="1"/>
  <c r="G32" i="1"/>
  <c r="I32" i="1"/>
  <c r="E28" i="1"/>
  <c r="F28" i="1"/>
  <c r="G28" i="1"/>
  <c r="I28" i="1"/>
  <c r="E24" i="1"/>
  <c r="F24" i="1"/>
  <c r="G24" i="1"/>
  <c r="I24" i="1"/>
  <c r="E46" i="1"/>
  <c r="F46" i="1"/>
  <c r="E37" i="1"/>
  <c r="F37" i="1"/>
  <c r="G37" i="1"/>
  <c r="I37" i="1"/>
  <c r="E54" i="1"/>
  <c r="F54" i="1"/>
  <c r="G44" i="1"/>
  <c r="K44" i="1"/>
  <c r="E42" i="1"/>
  <c r="F42" i="1"/>
  <c r="G42" i="1"/>
  <c r="G45" i="1"/>
  <c r="K45" i="1"/>
  <c r="E35" i="1"/>
  <c r="F35" i="1"/>
  <c r="G35" i="1"/>
  <c r="I35" i="1"/>
  <c r="E27" i="1"/>
  <c r="F27" i="1"/>
  <c r="G27" i="1"/>
  <c r="I27" i="1"/>
  <c r="E49" i="1"/>
  <c r="F49" i="1"/>
  <c r="G49" i="1"/>
  <c r="K49" i="1"/>
  <c r="G53" i="1"/>
  <c r="K53" i="1"/>
  <c r="E39" i="1"/>
  <c r="F39" i="1"/>
  <c r="G39" i="1"/>
  <c r="I39" i="1"/>
  <c r="E31" i="1"/>
  <c r="F31" i="1"/>
  <c r="G31" i="1"/>
  <c r="I31" i="1"/>
  <c r="G29" i="1"/>
  <c r="I29" i="1"/>
  <c r="E50" i="1"/>
  <c r="F50" i="1"/>
  <c r="E44" i="1"/>
  <c r="F44" i="1"/>
  <c r="J42" i="1"/>
  <c r="E14" i="2"/>
  <c r="E11" i="2"/>
  <c r="E17" i="2"/>
  <c r="E13" i="2"/>
  <c r="E18" i="2"/>
  <c r="C12" i="1"/>
  <c r="C16" i="1" l="1"/>
  <c r="D18" i="1" s="1"/>
  <c r="C11" i="1"/>
  <c r="O21" i="1" l="1"/>
  <c r="O35" i="1"/>
  <c r="O28" i="1"/>
  <c r="O49" i="1"/>
  <c r="O42" i="1"/>
  <c r="O40" i="1"/>
  <c r="O25" i="1"/>
  <c r="O43" i="1"/>
  <c r="C15" i="1"/>
  <c r="O51" i="1"/>
  <c r="O22" i="1"/>
  <c r="O39" i="1"/>
  <c r="O32" i="1"/>
  <c r="O29" i="1"/>
  <c r="O52" i="1"/>
  <c r="O36" i="1"/>
  <c r="O33" i="1"/>
  <c r="O44" i="1"/>
  <c r="O37" i="1"/>
  <c r="O31" i="1"/>
  <c r="O26" i="1"/>
  <c r="O53" i="1"/>
  <c r="O47" i="1"/>
  <c r="O54" i="1"/>
  <c r="O41" i="1"/>
  <c r="O34" i="1"/>
  <c r="O23" i="1"/>
  <c r="O38" i="1"/>
  <c r="O30" i="1"/>
  <c r="O55" i="1"/>
  <c r="O46" i="1"/>
  <c r="O50" i="1"/>
  <c r="O48" i="1"/>
  <c r="O27" i="1"/>
  <c r="O24" i="1"/>
  <c r="O45" i="1"/>
  <c r="E16" i="1" l="1"/>
  <c r="E17" i="1" s="1"/>
  <c r="C18" i="1"/>
</calcChain>
</file>

<file path=xl/sharedStrings.xml><?xml version="1.0" encoding="utf-8"?>
<sst xmlns="http://schemas.openxmlformats.org/spreadsheetml/2006/main" count="250" uniqueCount="139">
  <si>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</si>
  <si>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</si>
  <si>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</si>
  <si>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</si>
  <si>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</si>
  <si>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</si>
  <si>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</si>
  <si>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</si>
  <si>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</si>
  <si>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</si>
  <si>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</si>
  <si>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</si>
  <si>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</si>
  <si>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</si>
  <si>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</si>
  <si>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</si>
  <si>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</si>
  <si>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</si>
  <si>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</si>
  <si>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</si>
  <si>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</si>
  <si>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</si>
  <si>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</si>
  <si>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</si>
  <si>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</si>
  <si>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</si>
  <si>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</si>
  <si>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</si>
  <si>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</si>
  <si>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Bull.24</t>
  </si>
  <si>
    <t>B</t>
  </si>
  <si>
    <t>BBSAG Bull.25</t>
  </si>
  <si>
    <t>BBSAG Bull.26</t>
  </si>
  <si>
    <t>BBSAG Bull.28</t>
  </si>
  <si>
    <t>BBSAG Bull.29</t>
  </si>
  <si>
    <t>BBSAG Bull.30</t>
  </si>
  <si>
    <t>BBSAG Bull.31</t>
  </si>
  <si>
    <t>BBSAG Bull.32</t>
  </si>
  <si>
    <t>BBSAG Bull.34</t>
  </si>
  <si>
    <t>BBSAG Bull.35</t>
  </si>
  <si>
    <t>BBSAG Bull.36</t>
  </si>
  <si>
    <t>BBSAG Bull.39</t>
  </si>
  <si>
    <t>BBSAG Bull.40</t>
  </si>
  <si>
    <t>BBSAG Bull.45</t>
  </si>
  <si>
    <t>II</t>
  </si>
  <si>
    <t>I</t>
  </si>
  <si>
    <t>IBVS 5287</t>
  </si>
  <si>
    <t>IBVS 4108</t>
  </si>
  <si>
    <t>bad?</t>
  </si>
  <si>
    <t>IBVS 5583</t>
  </si>
  <si>
    <t>EA</t>
  </si>
  <si>
    <t># of data points:</t>
  </si>
  <si>
    <t>AP Tau / GSC 01840-00004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</si>
  <si>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</si>
  <si>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</si>
  <si>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</si>
  <si>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</si>
  <si>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</si>
  <si>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</si>
  <si>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</si>
  <si>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5874</t>
  </si>
  <si>
    <t>OEJV 0074</t>
  </si>
  <si>
    <t>CCD+C</t>
  </si>
  <si>
    <t>OEJV 0107</t>
  </si>
  <si>
    <t>IBVS 5920</t>
  </si>
  <si>
    <t>Add cycle</t>
  </si>
  <si>
    <t>Old Cycle</t>
  </si>
  <si>
    <t>IBVS 5960</t>
  </si>
  <si>
    <t>IBVS 6029</t>
  </si>
  <si>
    <t>IBVS 6063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</si>
  <si>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</si>
  <si>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</si>
  <si>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</si>
  <si>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</si>
  <si>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</si>
  <si>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</si>
  <si>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</si>
  <si>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</si>
  <si>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</si>
  <si>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</si>
  <si>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</si>
  <si>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2451626.3206 </t>
  </si>
  <si>
    <t> 22.03.2000 19:41 </t>
  </si>
  <si>
    <t> 0.0163 </t>
  </si>
  <si>
    <t>E </t>
  </si>
  <si>
    <t>?</t>
  </si>
  <si>
    <t> M.Zejda </t>
  </si>
  <si>
    <t>IBVS 5287 </t>
  </si>
  <si>
    <t>2451899.44544 </t>
  </si>
  <si>
    <t> 20.12.2000 22:41 </t>
  </si>
  <si>
    <t> 0.01682 </t>
  </si>
  <si>
    <t>C </t>
  </si>
  <si>
    <t>o</t>
  </si>
  <si>
    <t> J.Šafár </t>
  </si>
  <si>
    <t>OEJV 0074 </t>
  </si>
  <si>
    <t>2451955.3358 </t>
  </si>
  <si>
    <t> 14.02.2001 20:03 </t>
  </si>
  <si>
    <t> 0.0187 </t>
  </si>
  <si>
    <t> R.Diethelm </t>
  </si>
  <si>
    <t> BBS 124 </t>
  </si>
  <si>
    <t>2452279.4866 </t>
  </si>
  <si>
    <t> 04.01.2002 23:40 </t>
  </si>
  <si>
    <t> 0.0166 </t>
  </si>
  <si>
    <t>IBVS 5583 </t>
  </si>
  <si>
    <t>2452321.28325 </t>
  </si>
  <si>
    <t> 15.02.2002 18:47 </t>
  </si>
  <si>
    <t> 0.01844 </t>
  </si>
  <si>
    <t>2453744.2543 </t>
  </si>
  <si>
    <t> 08.01.2006 18:06 </t>
  </si>
  <si>
    <t> 0.0213 </t>
  </si>
  <si>
    <t>R</t>
  </si>
  <si>
    <t> M.Lehky </t>
  </si>
  <si>
    <t>OEJV 0107 </t>
  </si>
  <si>
    <t>2454390.6080 </t>
  </si>
  <si>
    <t> 17.10.2007 02:35 </t>
  </si>
  <si>
    <t> 0.0131 </t>
  </si>
  <si>
    <t> U.Schmidt </t>
  </si>
  <si>
    <t>BAVM 201 </t>
  </si>
  <si>
    <t>2455144.8719 </t>
  </si>
  <si>
    <t> 09.11.2009 08:55 </t>
  </si>
  <si>
    <t> 0.0261 </t>
  </si>
  <si>
    <t>IBVS 5920 </t>
  </si>
  <si>
    <t>2455506.9316 </t>
  </si>
  <si>
    <t> 06.11.2010 10:21 </t>
  </si>
  <si>
    <t> 0.0259 </t>
  </si>
  <si>
    <t>IBVS 5960 </t>
  </si>
  <si>
    <t>2455887.4591 </t>
  </si>
  <si>
    <t> 21.11.2011 23:01 </t>
  </si>
  <si>
    <t> W.Moschner &amp; P.Frank </t>
  </si>
  <si>
    <t>BAVM 225 </t>
  </si>
  <si>
    <t>2455947.7200 </t>
  </si>
  <si>
    <t> 21.01.2012 05:16 </t>
  </si>
  <si>
    <t> 0.0247 </t>
  </si>
  <si>
    <t>IBVS 6029 </t>
  </si>
  <si>
    <t>2456312.6966 </t>
  </si>
  <si>
    <t> 20.01.2013 04:43 </t>
  </si>
  <si>
    <t> 0.0255 </t>
  </si>
  <si>
    <t>IBVS 6063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</si>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</sst>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6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Tau - O-C Diagr.</a:t>
            </a:r>
          </a:p>
        </c:rich>
      </c:tx>
      <c:layout>
        <c:manualLayout>
          <c:xMode val="edge"/>
          <c:yMode val="edge"/>
          <c:x val="0.3619747897143569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04950212228466"/>
          <c:y val="0.14723926380368099"/>
          <c:w val="0.7842785794305761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9F-4C9F-AAFB-8B997A8CA3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1.2187199994514231E-2</c:v>
                </c:pt>
                <c:pt idx="2">
                  <c:v>1.4030399994226173E-2</c:v>
                </c:pt>
                <c:pt idx="3">
                  <c:v>1.6139199993631337E-2</c:v>
                </c:pt>
                <c:pt idx="4">
                  <c:v>8.2479999982751906E-3</c:v>
                </c:pt>
                <c:pt idx="6">
                  <c:v>-6.2240000042947941E-3</c:v>
                </c:pt>
                <c:pt idx="7">
                  <c:v>-1.3196800005971454E-2</c:v>
                </c:pt>
                <c:pt idx="8">
                  <c:v>-2.2992000012891367E-3</c:v>
                </c:pt>
                <c:pt idx="9">
                  <c:v>9.4008000014582649E-3</c:v>
                </c:pt>
                <c:pt idx="10">
                  <c:v>-3.0960000003688037E-3</c:v>
                </c:pt>
                <c:pt idx="11">
                  <c:v>2.8559999991557561E-3</c:v>
                </c:pt>
                <c:pt idx="12">
                  <c:v>6.4407999961986206E-3</c:v>
                </c:pt>
                <c:pt idx="13">
                  <c:v>1.9895999939762987E-3</c:v>
                </c:pt>
                <c:pt idx="14">
                  <c:v>-1.4561600000888575E-2</c:v>
                </c:pt>
                <c:pt idx="15">
                  <c:v>9.4655999928363599E-3</c:v>
                </c:pt>
                <c:pt idx="16">
                  <c:v>2.7192800000193529E-2</c:v>
                </c:pt>
                <c:pt idx="17">
                  <c:v>6.2079999770503491E-4</c:v>
                </c:pt>
                <c:pt idx="18">
                  <c:v>8.2639999964158051E-3</c:v>
                </c:pt>
                <c:pt idx="19">
                  <c:v>5.7736000017030165E-3</c:v>
                </c:pt>
                <c:pt idx="20">
                  <c:v>3.9600000018253922E-3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9F-4C9F-AAFB-8B997A8CA3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1">
                  <c:v>1.1701599993102718E-2</c:v>
                </c:pt>
                <c:pt idx="22">
                  <c:v>1.6340800000762101E-2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9F-4C9F-AAFB-8B997A8CA3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3">
                  <c:v>1.6823999998450745E-2</c:v>
                </c:pt>
                <c:pt idx="24">
                  <c:v>1.8748000002233312E-2</c:v>
                </c:pt>
                <c:pt idx="25">
                  <c:v>1.6619199996057432E-2</c:v>
                </c:pt>
                <c:pt idx="26">
                  <c:v>1.8438799997966271E-2</c:v>
                </c:pt>
                <c:pt idx="27">
                  <c:v>2.1309600000677165E-2</c:v>
                </c:pt>
                <c:pt idx="28">
                  <c:v>2.134959999966668E-2</c:v>
                </c:pt>
                <c:pt idx="29">
                  <c:v>1.3097600000037346E-2</c:v>
                </c:pt>
                <c:pt idx="30">
                  <c:v>2.6104799995664507E-2</c:v>
                </c:pt>
                <c:pt idx="31">
                  <c:v>2.5936800004274119E-2</c:v>
                </c:pt>
                <c:pt idx="32">
                  <c:v>2.6085600002261344E-2</c:v>
                </c:pt>
                <c:pt idx="33">
                  <c:v>2.4671999999554828E-2</c:v>
                </c:pt>
                <c:pt idx="34">
                  <c:v>2.5485600002866704E-2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9F-4C9F-AAFB-8B997A8CA3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9F-4C9F-AAFB-8B997A8CA3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9F-4C9F-AAFB-8B997A8CA3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9F-4C9F-AAFB-8B997A8CA3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-7.8771844259332424E-3</c:v>
                </c:pt>
                <c:pt idx="1">
                  <c:v>-1.0954446602666852E-3</c:v>
                </c:pt>
                <c:pt idx="2">
                  <c:v>-1.0340804066952718E-3</c:v>
                </c:pt>
                <c:pt idx="3">
                  <c:v>-1.0261624384925085E-3</c:v>
                </c:pt>
                <c:pt idx="4">
                  <c:v>-1.0182444702897453E-3</c:v>
                </c:pt>
                <c:pt idx="5">
                  <c:v>-8.41079931752922E-4</c:v>
                </c:pt>
                <c:pt idx="6">
                  <c:v>-5.4316637812396214E-4</c:v>
                </c:pt>
                <c:pt idx="7">
                  <c:v>-5.4118688607327197E-4</c:v>
                </c:pt>
                <c:pt idx="8">
                  <c:v>-4.7586364840047652E-4</c:v>
                </c:pt>
                <c:pt idx="9">
                  <c:v>-3.5214539523230337E-4</c:v>
                </c:pt>
                <c:pt idx="10">
                  <c:v>-3.1552479229452444E-4</c:v>
                </c:pt>
                <c:pt idx="11">
                  <c:v>-2.4624257052034779E-4</c:v>
                </c:pt>
                <c:pt idx="12">
                  <c:v>-2.0368349143049663E-4</c:v>
                </c:pt>
                <c:pt idx="13">
                  <c:v>2.0013288691041881E-4</c:v>
                </c:pt>
                <c:pt idx="14">
                  <c:v>2.327945057468174E-4</c:v>
                </c:pt>
                <c:pt idx="15">
                  <c:v>2.3477399779750843E-4</c:v>
                </c:pt>
                <c:pt idx="16">
                  <c:v>3.6047174301637175E-4</c:v>
                </c:pt>
                <c:pt idx="17">
                  <c:v>4.6439507567763716E-4</c:v>
                </c:pt>
                <c:pt idx="18">
                  <c:v>1.0206323419217414E-3</c:v>
                </c:pt>
                <c:pt idx="19">
                  <c:v>1.1304941507350782E-3</c:v>
                </c:pt>
                <c:pt idx="20">
                  <c:v>1.8718139237187698E-3</c:v>
                </c:pt>
                <c:pt idx="21">
                  <c:v>1.100815948368199E-2</c:v>
                </c:pt>
                <c:pt idx="22">
                  <c:v>1.6993153698945516E-2</c:v>
                </c:pt>
                <c:pt idx="23">
                  <c:v>1.7549390965189621E-2</c:v>
                </c:pt>
                <c:pt idx="24">
                  <c:v>1.7663211758104338E-2</c:v>
                </c:pt>
                <c:pt idx="25">
                  <c:v>1.8323372357009707E-2</c:v>
                </c:pt>
                <c:pt idx="26">
                  <c:v>1.8408490515189412E-2</c:v>
                </c:pt>
                <c:pt idx="27">
                  <c:v>2.130646687740069E-2</c:v>
                </c:pt>
                <c:pt idx="28">
                  <c:v>2.130646687740069E-2</c:v>
                </c:pt>
                <c:pt idx="29">
                  <c:v>2.2622829091110047E-2</c:v>
                </c:pt>
                <c:pt idx="30">
                  <c:v>2.4158914922446081E-2</c:v>
                </c:pt>
                <c:pt idx="31">
                  <c:v>2.4896275711328388E-2</c:v>
                </c:pt>
                <c:pt idx="32">
                  <c:v>2.5671246849173823E-2</c:v>
                </c:pt>
                <c:pt idx="33">
                  <c:v>2.5793975356316654E-2</c:v>
                </c:pt>
                <c:pt idx="34">
                  <c:v>2.6537274621351033E-2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9F-4C9F-AAFB-8B997A8CA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096896"/>
        <c:axId val="1"/>
      </c:scatterChart>
      <c:valAx>
        <c:axId val="881096896"/>
        <c:scaling>
          <c:orientation val="minMax"/>
          <c:min val="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68045699040822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16453382084092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1096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20475319926874"/>
          <c:y val="0.92024539877300615"/>
          <c:w val="0.8884834002696646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AP Tau - O-C Diagr.</a:t>
            </a:r>
          </a:p>
        </c:rich>
      </c:tx>
      <c:layout>
        <c:manualLayout>
          <c:xMode val="edge"/>
          <c:yMode val="edge"/>
          <c:x val="0.3613138686131386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094890510949"/>
          <c:y val="0.14678942920199375"/>
          <c:w val="0.78832116788321172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96-4668-81E3-53181747AD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">
                  <c:v>1.2187199994514231E-2</c:v>
                </c:pt>
                <c:pt idx="2">
                  <c:v>1.4030399994226173E-2</c:v>
                </c:pt>
                <c:pt idx="3">
                  <c:v>1.6139199993631337E-2</c:v>
                </c:pt>
                <c:pt idx="4">
                  <c:v>8.2479999982751906E-3</c:v>
                </c:pt>
                <c:pt idx="6">
                  <c:v>-6.2240000042947941E-3</c:v>
                </c:pt>
                <c:pt idx="7">
                  <c:v>-1.3196800005971454E-2</c:v>
                </c:pt>
                <c:pt idx="8">
                  <c:v>-2.2992000012891367E-3</c:v>
                </c:pt>
                <c:pt idx="9">
                  <c:v>9.4008000014582649E-3</c:v>
                </c:pt>
                <c:pt idx="10">
                  <c:v>-3.0960000003688037E-3</c:v>
                </c:pt>
                <c:pt idx="11">
                  <c:v>2.8559999991557561E-3</c:v>
                </c:pt>
                <c:pt idx="12">
                  <c:v>6.4407999961986206E-3</c:v>
                </c:pt>
                <c:pt idx="13">
                  <c:v>1.9895999939762987E-3</c:v>
                </c:pt>
                <c:pt idx="14">
                  <c:v>-1.4561600000888575E-2</c:v>
                </c:pt>
                <c:pt idx="15">
                  <c:v>9.4655999928363599E-3</c:v>
                </c:pt>
                <c:pt idx="16">
                  <c:v>2.7192800000193529E-2</c:v>
                </c:pt>
                <c:pt idx="17">
                  <c:v>6.2079999770503491E-4</c:v>
                </c:pt>
                <c:pt idx="18">
                  <c:v>8.2639999964158051E-3</c:v>
                </c:pt>
                <c:pt idx="19">
                  <c:v>5.7736000017030165E-3</c:v>
                </c:pt>
                <c:pt idx="20">
                  <c:v>3.9600000018253922E-3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96-4668-81E3-53181747AD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21">
                  <c:v>1.1701599993102718E-2</c:v>
                </c:pt>
                <c:pt idx="22">
                  <c:v>1.6340800000762101E-2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96-4668-81E3-53181747AD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3">
                  <c:v>1.6823999998450745E-2</c:v>
                </c:pt>
                <c:pt idx="24">
                  <c:v>1.8748000002233312E-2</c:v>
                </c:pt>
                <c:pt idx="25">
                  <c:v>1.6619199996057432E-2</c:v>
                </c:pt>
                <c:pt idx="26">
                  <c:v>1.8438799997966271E-2</c:v>
                </c:pt>
                <c:pt idx="27">
                  <c:v>2.1309600000677165E-2</c:v>
                </c:pt>
                <c:pt idx="28">
                  <c:v>2.134959999966668E-2</c:v>
                </c:pt>
                <c:pt idx="29">
                  <c:v>1.3097600000037346E-2</c:v>
                </c:pt>
                <c:pt idx="30">
                  <c:v>2.6104799995664507E-2</c:v>
                </c:pt>
                <c:pt idx="31">
                  <c:v>2.5936800004274119E-2</c:v>
                </c:pt>
                <c:pt idx="32">
                  <c:v>2.6085600002261344E-2</c:v>
                </c:pt>
                <c:pt idx="33">
                  <c:v>2.4671999999554828E-2</c:v>
                </c:pt>
                <c:pt idx="34">
                  <c:v>2.5485600002866704E-2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96-4668-81E3-53181747AD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96-4668-81E3-53181747AD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96-4668-81E3-53181747AD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5">
                    <c:v>0</c:v>
                  </c:pt>
                  <c:pt idx="21">
                    <c:v>2.0000000000000001E-4</c:v>
                  </c:pt>
                  <c:pt idx="22">
                    <c:v>1.6999999999999999E-3</c:v>
                  </c:pt>
                  <c:pt idx="23">
                    <c:v>1.1999999999999999E-3</c:v>
                  </c:pt>
                  <c:pt idx="25">
                    <c:v>4.7000000000000002E-3</c:v>
                  </c:pt>
                  <c:pt idx="26">
                    <c:v>0</c:v>
                  </c:pt>
                  <c:pt idx="28">
                    <c:v>4.0000000000000002E-4</c:v>
                  </c:pt>
                  <c:pt idx="29">
                    <c:v>2.5000000000000001E-3</c:v>
                  </c:pt>
                  <c:pt idx="30">
                    <c:v>2.9999999999999997E-4</c:v>
                  </c:pt>
                  <c:pt idx="31">
                    <c:v>5.9999999999999995E-4</c:v>
                  </c:pt>
                  <c:pt idx="33">
                    <c:v>2.9999999999999997E-4</c:v>
                  </c:pt>
                  <c:pt idx="3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96-4668-81E3-53181747AD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-7.8771844259332424E-3</c:v>
                </c:pt>
                <c:pt idx="1">
                  <c:v>-1.0954446602666852E-3</c:v>
                </c:pt>
                <c:pt idx="2">
                  <c:v>-1.0340804066952718E-3</c:v>
                </c:pt>
                <c:pt idx="3">
                  <c:v>-1.0261624384925085E-3</c:v>
                </c:pt>
                <c:pt idx="4">
                  <c:v>-1.0182444702897453E-3</c:v>
                </c:pt>
                <c:pt idx="5">
                  <c:v>-8.41079931752922E-4</c:v>
                </c:pt>
                <c:pt idx="6">
                  <c:v>-5.4316637812396214E-4</c:v>
                </c:pt>
                <c:pt idx="7">
                  <c:v>-5.4118688607327197E-4</c:v>
                </c:pt>
                <c:pt idx="8">
                  <c:v>-4.7586364840047652E-4</c:v>
                </c:pt>
                <c:pt idx="9">
                  <c:v>-3.5214539523230337E-4</c:v>
                </c:pt>
                <c:pt idx="10">
                  <c:v>-3.1552479229452444E-4</c:v>
                </c:pt>
                <c:pt idx="11">
                  <c:v>-2.4624257052034779E-4</c:v>
                </c:pt>
                <c:pt idx="12">
                  <c:v>-2.0368349143049663E-4</c:v>
                </c:pt>
                <c:pt idx="13">
                  <c:v>2.0013288691041881E-4</c:v>
                </c:pt>
                <c:pt idx="14">
                  <c:v>2.327945057468174E-4</c:v>
                </c:pt>
                <c:pt idx="15">
                  <c:v>2.3477399779750843E-4</c:v>
                </c:pt>
                <c:pt idx="16">
                  <c:v>3.6047174301637175E-4</c:v>
                </c:pt>
                <c:pt idx="17">
                  <c:v>4.6439507567763716E-4</c:v>
                </c:pt>
                <c:pt idx="18">
                  <c:v>1.0206323419217414E-3</c:v>
                </c:pt>
                <c:pt idx="19">
                  <c:v>1.1304941507350782E-3</c:v>
                </c:pt>
                <c:pt idx="20">
                  <c:v>1.8718139237187698E-3</c:v>
                </c:pt>
                <c:pt idx="21">
                  <c:v>1.100815948368199E-2</c:v>
                </c:pt>
                <c:pt idx="22">
                  <c:v>1.6993153698945516E-2</c:v>
                </c:pt>
                <c:pt idx="23">
                  <c:v>1.7549390965189621E-2</c:v>
                </c:pt>
                <c:pt idx="24">
                  <c:v>1.7663211758104338E-2</c:v>
                </c:pt>
                <c:pt idx="25">
                  <c:v>1.8323372357009707E-2</c:v>
                </c:pt>
                <c:pt idx="26">
                  <c:v>1.8408490515189412E-2</c:v>
                </c:pt>
                <c:pt idx="27">
                  <c:v>2.130646687740069E-2</c:v>
                </c:pt>
                <c:pt idx="28">
                  <c:v>2.130646687740069E-2</c:v>
                </c:pt>
                <c:pt idx="29">
                  <c:v>2.2622829091110047E-2</c:v>
                </c:pt>
                <c:pt idx="30">
                  <c:v>2.4158914922446081E-2</c:v>
                </c:pt>
                <c:pt idx="31">
                  <c:v>2.4896275711328388E-2</c:v>
                </c:pt>
                <c:pt idx="32">
                  <c:v>2.5671246849173823E-2</c:v>
                </c:pt>
                <c:pt idx="33">
                  <c:v>2.5793975356316654E-2</c:v>
                </c:pt>
                <c:pt idx="34">
                  <c:v>2.6537274621351033E-2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96-4668-81E3-53181747AD7B}"/>
            </c:ext>
          </c:extLst>
        </c:ser>
        <c:ser>
          <c:idx val="8"/>
          <c:order val="8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5"/>
            <c:marker>
              <c:symbol val="x"/>
              <c:size val="6"/>
              <c:spPr>
                <a:noFill/>
                <a:ln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D396-4668-81E3-53181747AD7B}"/>
              </c:ext>
            </c:extLst>
          </c:dPt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3426</c:v>
                </c:pt>
                <c:pt idx="2">
                  <c:v>3457</c:v>
                </c:pt>
                <c:pt idx="3">
                  <c:v>3461</c:v>
                </c:pt>
                <c:pt idx="4">
                  <c:v>3465</c:v>
                </c:pt>
                <c:pt idx="5">
                  <c:v>3554.5</c:v>
                </c:pt>
                <c:pt idx="6">
                  <c:v>3705</c:v>
                </c:pt>
                <c:pt idx="7">
                  <c:v>3706</c:v>
                </c:pt>
                <c:pt idx="8">
                  <c:v>3739</c:v>
                </c:pt>
                <c:pt idx="9">
                  <c:v>3801.5</c:v>
                </c:pt>
                <c:pt idx="10">
                  <c:v>3820</c:v>
                </c:pt>
                <c:pt idx="11">
                  <c:v>3855</c:v>
                </c:pt>
                <c:pt idx="12">
                  <c:v>3876.5</c:v>
                </c:pt>
                <c:pt idx="13">
                  <c:v>4080.5</c:v>
                </c:pt>
                <c:pt idx="14">
                  <c:v>4097</c:v>
                </c:pt>
                <c:pt idx="15">
                  <c:v>4098</c:v>
                </c:pt>
                <c:pt idx="16">
                  <c:v>4161.5</c:v>
                </c:pt>
                <c:pt idx="17">
                  <c:v>4214</c:v>
                </c:pt>
                <c:pt idx="18">
                  <c:v>4495</c:v>
                </c:pt>
                <c:pt idx="19">
                  <c:v>4550.5</c:v>
                </c:pt>
                <c:pt idx="20">
                  <c:v>4925</c:v>
                </c:pt>
                <c:pt idx="21">
                  <c:v>9540.5</c:v>
                </c:pt>
                <c:pt idx="22">
                  <c:v>12564</c:v>
                </c:pt>
                <c:pt idx="23">
                  <c:v>12845</c:v>
                </c:pt>
                <c:pt idx="24">
                  <c:v>12902.5</c:v>
                </c:pt>
                <c:pt idx="25">
                  <c:v>13236</c:v>
                </c:pt>
                <c:pt idx="26">
                  <c:v>13279</c:v>
                </c:pt>
                <c:pt idx="27">
                  <c:v>14743</c:v>
                </c:pt>
                <c:pt idx="28">
                  <c:v>14743</c:v>
                </c:pt>
                <c:pt idx="29">
                  <c:v>15408</c:v>
                </c:pt>
                <c:pt idx="30">
                  <c:v>16184</c:v>
                </c:pt>
                <c:pt idx="31">
                  <c:v>16556.5</c:v>
                </c:pt>
                <c:pt idx="32">
                  <c:v>16948</c:v>
                </c:pt>
                <c:pt idx="33">
                  <c:v>17010</c:v>
                </c:pt>
                <c:pt idx="34">
                  <c:v>17385.5</c:v>
                </c:pt>
              </c:numCache>
            </c:numRef>
          </c:xVal>
          <c:yVal>
            <c:numRef>
              <c:f>Active!$T$21:$T$999</c:f>
              <c:numCache>
                <c:formatCode>General</c:formatCode>
                <c:ptCount val="979"/>
                <c:pt idx="5">
                  <c:v>8.768239999335492E-2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96-4668-81E3-53181747A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778456"/>
        <c:axId val="1"/>
      </c:scatterChart>
      <c:valAx>
        <c:axId val="892778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2262773722633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919708029197078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778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583941605839416"/>
          <c:y val="0.9204921861831491"/>
          <c:w val="0.7920348075302468"/>
          <c:h val="5.96318814578557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17</xdr:col>
      <xdr:colOff>361950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60867399-D2CA-409B-FF21-B04013A26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66676</xdr:rowOff>
    </xdr:from>
    <xdr:to>
      <xdr:col>27</xdr:col>
      <xdr:colOff>333375</xdr:colOff>
      <xdr:row>18</xdr:row>
      <xdr:rowOff>66676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EF78FDA-6229-F6DB-2CE7-E1552FA18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920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konkoly.hu/cgi-bin/IBVS?6063" TargetMode="External"/><Relationship Id="rId5" Type="http://schemas.openxmlformats.org/officeDocument/2006/relationships/hyperlink" Target="http://var.astro.cz/oejv/issues/oejv0107.pdf" TargetMode="External"/><Relationship Id="rId10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89"/>
  <sheetViews>
    <sheetView tabSelected="1" workbookViewId="0">
      <pane xSplit="14" ySplit="22" topLeftCell="O34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5.140625" style="2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9" customFormat="1" ht="20.25" x14ac:dyDescent="0.2">
      <c r="A1" s="63" t="s">
        <v>52</v>
      </c>
      <c r="B1" s="41"/>
    </row>
    <row r="2" spans="1:7" s="39" customFormat="1" ht="12.95" customHeight="1" x14ac:dyDescent="0.2">
      <c r="A2" s="39" t="s">
        <v>24</v>
      </c>
      <c r="B2" s="40" t="s">
        <v>50</v>
      </c>
    </row>
    <row r="3" spans="1:7" s="39" customFormat="1" ht="12.95" customHeight="1" thickBot="1" x14ac:dyDescent="0.25">
      <c r="B3" s="41"/>
    </row>
    <row r="4" spans="1:7" s="39" customFormat="1" ht="12.95" customHeight="1" thickTop="1" thickBot="1" x14ac:dyDescent="0.25">
      <c r="A4" s="42" t="s">
        <v>0</v>
      </c>
      <c r="B4" s="41"/>
      <c r="C4" s="43">
        <v>39414.438000000002</v>
      </c>
      <c r="D4" s="44">
        <v>0.97197279999999997</v>
      </c>
    </row>
    <row r="5" spans="1:7" s="39" customFormat="1" ht="12.95" customHeight="1" thickTop="1" x14ac:dyDescent="0.2">
      <c r="B5" s="41"/>
    </row>
    <row r="6" spans="1:7" s="39" customFormat="1" ht="12.95" customHeight="1" x14ac:dyDescent="0.2">
      <c r="A6" s="42" t="s">
        <v>1</v>
      </c>
      <c r="B6" s="41"/>
    </row>
    <row r="7" spans="1:7" s="39" customFormat="1" ht="12.95" customHeight="1" x14ac:dyDescent="0.2">
      <c r="A7" s="39" t="s">
        <v>2</v>
      </c>
      <c r="B7" s="41"/>
      <c r="C7" s="39">
        <f>+C4</f>
        <v>39414.438000000002</v>
      </c>
    </row>
    <row r="8" spans="1:7" s="39" customFormat="1" ht="12.95" customHeight="1" x14ac:dyDescent="0.2">
      <c r="A8" s="39" t="s">
        <v>3</v>
      </c>
      <c r="B8" s="41"/>
      <c r="C8" s="39">
        <f>+D4</f>
        <v>0.97197279999999997</v>
      </c>
    </row>
    <row r="9" spans="1:7" s="39" customFormat="1" ht="12.95" customHeight="1" x14ac:dyDescent="0.2">
      <c r="A9" s="45" t="s">
        <v>53</v>
      </c>
      <c r="C9" s="46">
        <v>-9.5</v>
      </c>
      <c r="D9" s="39" t="s">
        <v>54</v>
      </c>
    </row>
    <row r="10" spans="1:7" s="39" customFormat="1" ht="12.95" customHeight="1" thickBot="1" x14ac:dyDescent="0.25">
      <c r="C10" s="47" t="s">
        <v>20</v>
      </c>
      <c r="D10" s="47" t="s">
        <v>21</v>
      </c>
    </row>
    <row r="11" spans="1:7" s="39" customFormat="1" ht="12.95" customHeight="1" x14ac:dyDescent="0.2">
      <c r="A11" s="39" t="s">
        <v>16</v>
      </c>
      <c r="C11" s="48">
        <f ca="1">INTERCEPT(INDIRECT($G$11):G992,INDIRECT($F$11):F992)</f>
        <v>-7.8771844259332424E-3</v>
      </c>
      <c r="D11" s="41"/>
      <c r="F11" s="49" t="str">
        <f>"F"&amp;E19</f>
        <v>F42</v>
      </c>
      <c r="G11" s="48" t="str">
        <f>"G"&amp;E19</f>
        <v>G42</v>
      </c>
    </row>
    <row r="12" spans="1:7" s="39" customFormat="1" ht="12.95" customHeight="1" x14ac:dyDescent="0.2">
      <c r="A12" s="39" t="s">
        <v>17</v>
      </c>
      <c r="C12" s="48">
        <f ca="1">SLOPE(INDIRECT($G$11):G992,INDIRECT($F$11):F992)</f>
        <v>1.9794920506907639E-6</v>
      </c>
      <c r="D12" s="41"/>
    </row>
    <row r="13" spans="1:7" s="39" customFormat="1" ht="12.95" customHeight="1" x14ac:dyDescent="0.2">
      <c r="A13" s="39" t="s">
        <v>19</v>
      </c>
      <c r="C13" s="41" t="s">
        <v>14</v>
      </c>
      <c r="D13" s="50" t="s">
        <v>65</v>
      </c>
      <c r="E13" s="46">
        <v>1</v>
      </c>
    </row>
    <row r="14" spans="1:7" s="39" customFormat="1" ht="12.95" customHeight="1" x14ac:dyDescent="0.2">
      <c r="D14" s="50" t="s">
        <v>55</v>
      </c>
      <c r="E14" s="51">
        <f ca="1">NOW()+15018.5+$C$9/24</f>
        <v>60376.724724305554</v>
      </c>
    </row>
    <row r="15" spans="1:7" s="39" customFormat="1" ht="12.95" customHeight="1" x14ac:dyDescent="0.2">
      <c r="A15" s="52" t="s">
        <v>18</v>
      </c>
      <c r="C15" s="53">
        <f ca="1">(C7+C11)+(C8+C12)*INT(MAX(F21:F3533))</f>
        <v>56312.21166428487</v>
      </c>
      <c r="D15" s="50" t="s">
        <v>66</v>
      </c>
      <c r="E15" s="51">
        <f ca="1">ROUND(2*(E14-$C$7)/$C$8,0)/2+E13</f>
        <v>21567.5</v>
      </c>
    </row>
    <row r="16" spans="1:7" s="39" customFormat="1" ht="12.95" customHeight="1" x14ac:dyDescent="0.2">
      <c r="A16" s="42" t="s">
        <v>4</v>
      </c>
      <c r="C16" s="54">
        <f ca="1">+C8+C12</f>
        <v>0.97197477949205069</v>
      </c>
      <c r="D16" s="50" t="s">
        <v>56</v>
      </c>
      <c r="E16" s="48">
        <f ca="1">ROUND(2*(E14-$C$15)/$C$16,0)/2+E13</f>
        <v>4182.5</v>
      </c>
    </row>
    <row r="17" spans="1:31" s="39" customFormat="1" ht="12.95" customHeight="1" thickBot="1" x14ac:dyDescent="0.25">
      <c r="A17" s="50" t="s">
        <v>51</v>
      </c>
      <c r="C17" s="39">
        <f>COUNT(C21:C2191)</f>
        <v>35</v>
      </c>
      <c r="D17" s="50" t="s">
        <v>57</v>
      </c>
      <c r="E17" s="55">
        <f ca="1">+$C$15+$C$16*E16-15018.5-$C$9/24</f>
        <v>45359.392012843709</v>
      </c>
    </row>
    <row r="18" spans="1:31" s="39" customFormat="1" ht="12.95" customHeight="1" thickTop="1" thickBot="1" x14ac:dyDescent="0.25">
      <c r="A18" s="42" t="s">
        <v>5</v>
      </c>
      <c r="C18" s="43">
        <f ca="1">+C15</f>
        <v>56312.21166428487</v>
      </c>
      <c r="D18" s="44">
        <f ca="1">+C16</f>
        <v>0.97197477949205069</v>
      </c>
      <c r="E18" s="56" t="s">
        <v>58</v>
      </c>
    </row>
    <row r="19" spans="1:31" s="39" customFormat="1" ht="12.95" customHeight="1" thickTop="1" x14ac:dyDescent="0.2">
      <c r="A19" s="57" t="s">
        <v>59</v>
      </c>
      <c r="E19" s="58">
        <v>42</v>
      </c>
    </row>
    <row r="20" spans="1:31" s="39" customFormat="1" ht="12.95" customHeight="1" thickBot="1" x14ac:dyDescent="0.25">
      <c r="A20" s="47" t="s">
        <v>6</v>
      </c>
      <c r="B20" s="47" t="s">
        <v>7</v>
      </c>
      <c r="C20" s="47" t="s">
        <v>8</v>
      </c>
      <c r="D20" s="47" t="s">
        <v>13</v>
      </c>
      <c r="E20" s="47" t="s">
        <v>9</v>
      </c>
      <c r="F20" s="47" t="s">
        <v>10</v>
      </c>
      <c r="G20" s="47" t="s">
        <v>11</v>
      </c>
      <c r="H20" s="59" t="s">
        <v>12</v>
      </c>
      <c r="I20" s="59" t="s">
        <v>80</v>
      </c>
      <c r="J20" s="59" t="s">
        <v>74</v>
      </c>
      <c r="K20" s="59" t="s">
        <v>72</v>
      </c>
      <c r="L20" s="59" t="s">
        <v>25</v>
      </c>
      <c r="M20" s="59" t="s">
        <v>26</v>
      </c>
      <c r="N20" s="59" t="s">
        <v>27</v>
      </c>
      <c r="O20" s="59" t="s">
        <v>23</v>
      </c>
      <c r="P20" s="60" t="s">
        <v>22</v>
      </c>
      <c r="Q20" s="47" t="s">
        <v>15</v>
      </c>
      <c r="T20" s="64" t="s">
        <v>138</v>
      </c>
    </row>
    <row r="21" spans="1:31" s="39" customFormat="1" ht="12.95" customHeight="1" x14ac:dyDescent="0.2">
      <c r="A21" s="39" t="s">
        <v>12</v>
      </c>
      <c r="B21" s="41"/>
      <c r="C21" s="61">
        <v>39414.438000000002</v>
      </c>
      <c r="D21" s="61" t="s">
        <v>14</v>
      </c>
      <c r="E21" s="39">
        <f t="shared" ref="E21:E55" si="0">+(C21-C$7)/C$8</f>
        <v>0</v>
      </c>
      <c r="F21" s="39">
        <f t="shared" ref="F21:F55" si="1">ROUND(2*E21,0)/2</f>
        <v>0</v>
      </c>
      <c r="G21" s="39">
        <f>+C21-(C$7+F21*C$8)</f>
        <v>0</v>
      </c>
      <c r="H21" s="39">
        <f>+G21</f>
        <v>0</v>
      </c>
      <c r="O21" s="39">
        <f t="shared" ref="O21:O55" ca="1" si="2">+C$11+C$12*$F21</f>
        <v>-7.8771844259332424E-3</v>
      </c>
      <c r="Q21" s="62">
        <f t="shared" ref="Q21:Q55" si="3">+C21-15018.5</f>
        <v>24395.938000000002</v>
      </c>
    </row>
    <row r="22" spans="1:31" s="39" customFormat="1" ht="12.95" customHeight="1" x14ac:dyDescent="0.2">
      <c r="A22" s="39" t="s">
        <v>29</v>
      </c>
      <c r="B22" s="41"/>
      <c r="C22" s="61">
        <v>42744.428999999996</v>
      </c>
      <c r="D22" s="61"/>
      <c r="E22" s="39">
        <f t="shared" si="0"/>
        <v>3426.0125386224745</v>
      </c>
      <c r="F22" s="39">
        <f t="shared" si="1"/>
        <v>3426</v>
      </c>
      <c r="G22" s="39">
        <f>+C22-(C$7+F22*C$8)</f>
        <v>1.2187199994514231E-2</v>
      </c>
      <c r="I22" s="39">
        <f>+G22</f>
        <v>1.2187199994514231E-2</v>
      </c>
      <c r="O22" s="39">
        <f t="shared" ca="1" si="2"/>
        <v>-1.0954446602666852E-3</v>
      </c>
      <c r="Q22" s="62">
        <f t="shared" si="3"/>
        <v>27725.928999999996</v>
      </c>
      <c r="AB22" s="39">
        <v>10</v>
      </c>
      <c r="AC22" s="39" t="s">
        <v>28</v>
      </c>
      <c r="AE22" s="39" t="s">
        <v>30</v>
      </c>
    </row>
    <row r="23" spans="1:31" x14ac:dyDescent="0.2">
      <c r="A23" t="s">
        <v>31</v>
      </c>
      <c r="C23" s="6">
        <v>42774.561999999998</v>
      </c>
      <c r="D23" s="6"/>
      <c r="E23">
        <f t="shared" si="0"/>
        <v>3457.0144349718389</v>
      </c>
      <c r="F23">
        <f t="shared" si="1"/>
        <v>3457</v>
      </c>
      <c r="G23">
        <f>+C23-(C$7+F23*C$8)</f>
        <v>1.4030399994226173E-2</v>
      </c>
      <c r="I23">
        <f>+G23</f>
        <v>1.4030399994226173E-2</v>
      </c>
      <c r="O23">
        <f t="shared" ca="1" si="2"/>
        <v>-1.0340804066952718E-3</v>
      </c>
      <c r="Q23" s="1">
        <f t="shared" si="3"/>
        <v>27756.061999999998</v>
      </c>
      <c r="AB23">
        <v>7</v>
      </c>
      <c r="AC23" t="s">
        <v>28</v>
      </c>
      <c r="AE23" t="s">
        <v>30</v>
      </c>
    </row>
    <row r="24" spans="1:31" x14ac:dyDescent="0.2">
      <c r="A24" t="s">
        <v>31</v>
      </c>
      <c r="C24" s="6">
        <v>42778.451999999997</v>
      </c>
      <c r="D24" s="6"/>
      <c r="E24">
        <f t="shared" si="0"/>
        <v>3461.0166045798769</v>
      </c>
      <c r="F24">
        <f t="shared" si="1"/>
        <v>3461</v>
      </c>
      <c r="G24">
        <f>+C24-(C$7+F24*C$8)</f>
        <v>1.6139199993631337E-2</v>
      </c>
      <c r="I24">
        <f>+G24</f>
        <v>1.6139199993631337E-2</v>
      </c>
      <c r="O24">
        <f t="shared" ca="1" si="2"/>
        <v>-1.0261624384925085E-3</v>
      </c>
      <c r="Q24" s="1">
        <f t="shared" si="3"/>
        <v>27759.951999999997</v>
      </c>
      <c r="AB24">
        <v>7</v>
      </c>
      <c r="AC24" t="s">
        <v>28</v>
      </c>
      <c r="AE24" t="s">
        <v>30</v>
      </c>
    </row>
    <row r="25" spans="1:31" x14ac:dyDescent="0.2">
      <c r="A25" t="s">
        <v>32</v>
      </c>
      <c r="C25" s="6">
        <v>42782.332000000002</v>
      </c>
      <c r="D25" s="6"/>
      <c r="E25">
        <f t="shared" si="0"/>
        <v>3465.008485834172</v>
      </c>
      <c r="F25">
        <f t="shared" si="1"/>
        <v>3465</v>
      </c>
      <c r="G25">
        <f>+C25-(C$7+F25*C$8)</f>
        <v>8.2479999982751906E-3</v>
      </c>
      <c r="I25">
        <f>+G25</f>
        <v>8.2479999982751906E-3</v>
      </c>
      <c r="O25">
        <f t="shared" ca="1" si="2"/>
        <v>-1.0182444702897453E-3</v>
      </c>
      <c r="Q25" s="1">
        <f t="shared" si="3"/>
        <v>27763.832000000002</v>
      </c>
      <c r="AB25">
        <v>6</v>
      </c>
      <c r="AC25" t="s">
        <v>28</v>
      </c>
      <c r="AE25" t="s">
        <v>30</v>
      </c>
    </row>
    <row r="26" spans="1:31" x14ac:dyDescent="0.2">
      <c r="A26" t="s">
        <v>33</v>
      </c>
      <c r="B26" s="2" t="s">
        <v>44</v>
      </c>
      <c r="C26" s="6">
        <v>42869.402999999998</v>
      </c>
      <c r="D26" s="7" t="s">
        <v>48</v>
      </c>
      <c r="E26">
        <f t="shared" si="0"/>
        <v>3554.5902107548654</v>
      </c>
      <c r="F26">
        <f t="shared" si="1"/>
        <v>3554.5</v>
      </c>
      <c r="O26">
        <f t="shared" ca="1" si="2"/>
        <v>-8.41079931752922E-4</v>
      </c>
      <c r="Q26" s="1">
        <f t="shared" si="3"/>
        <v>27850.902999999998</v>
      </c>
      <c r="T26" s="3">
        <v>8.768239999335492E-2</v>
      </c>
      <c r="AB26">
        <v>6</v>
      </c>
      <c r="AC26" t="s">
        <v>28</v>
      </c>
      <c r="AE26" t="s">
        <v>30</v>
      </c>
    </row>
    <row r="27" spans="1:31" x14ac:dyDescent="0.2">
      <c r="A27" t="s">
        <v>34</v>
      </c>
      <c r="C27" s="6">
        <v>43015.591</v>
      </c>
      <c r="D27" s="6"/>
      <c r="E27">
        <f t="shared" si="0"/>
        <v>3704.9935965286259</v>
      </c>
      <c r="F27">
        <f t="shared" si="1"/>
        <v>3705</v>
      </c>
      <c r="G27">
        <f t="shared" ref="G27:G49" si="4">+C27-(C$7+F27*C$8)</f>
        <v>-6.2240000042947941E-3</v>
      </c>
      <c r="I27">
        <f t="shared" ref="I27:I41" si="5">+G27</f>
        <v>-6.2240000042947941E-3</v>
      </c>
      <c r="O27">
        <f t="shared" ca="1" si="2"/>
        <v>-5.4316637812396214E-4</v>
      </c>
      <c r="Q27" s="1">
        <f t="shared" si="3"/>
        <v>27997.091</v>
      </c>
      <c r="AB27">
        <v>7</v>
      </c>
      <c r="AC27" t="s">
        <v>28</v>
      </c>
      <c r="AE27" t="s">
        <v>30</v>
      </c>
    </row>
    <row r="28" spans="1:31" x14ac:dyDescent="0.2">
      <c r="A28" t="s">
        <v>34</v>
      </c>
      <c r="C28" s="6">
        <v>43016.555999999997</v>
      </c>
      <c r="D28" s="6"/>
      <c r="E28">
        <f t="shared" si="0"/>
        <v>3705.9864226653203</v>
      </c>
      <c r="F28">
        <f t="shared" si="1"/>
        <v>3706</v>
      </c>
      <c r="G28">
        <f t="shared" si="4"/>
        <v>-1.3196800005971454E-2</v>
      </c>
      <c r="I28">
        <f t="shared" si="5"/>
        <v>-1.3196800005971454E-2</v>
      </c>
      <c r="O28">
        <f t="shared" ca="1" si="2"/>
        <v>-5.4118688607327197E-4</v>
      </c>
      <c r="Q28" s="1">
        <f t="shared" si="3"/>
        <v>27998.055999999997</v>
      </c>
      <c r="AB28">
        <v>5</v>
      </c>
      <c r="AC28" t="s">
        <v>28</v>
      </c>
      <c r="AE28" t="s">
        <v>30</v>
      </c>
    </row>
    <row r="29" spans="1:31" x14ac:dyDescent="0.2">
      <c r="A29" t="s">
        <v>35</v>
      </c>
      <c r="C29" s="6">
        <v>43048.642</v>
      </c>
      <c r="D29" s="6"/>
      <c r="E29">
        <f t="shared" si="0"/>
        <v>3738.9976345017044</v>
      </c>
      <c r="F29">
        <f t="shared" si="1"/>
        <v>3739</v>
      </c>
      <c r="G29">
        <f t="shared" si="4"/>
        <v>-2.2992000012891367E-3</v>
      </c>
      <c r="I29">
        <f t="shared" si="5"/>
        <v>-2.2992000012891367E-3</v>
      </c>
      <c r="O29">
        <f t="shared" ca="1" si="2"/>
        <v>-4.7586364840047652E-4</v>
      </c>
      <c r="Q29" s="1">
        <f t="shared" si="3"/>
        <v>28030.142</v>
      </c>
      <c r="AB29">
        <v>11</v>
      </c>
      <c r="AC29" t="s">
        <v>28</v>
      </c>
      <c r="AE29" t="s">
        <v>30</v>
      </c>
    </row>
    <row r="30" spans="1:31" x14ac:dyDescent="0.2">
      <c r="A30" t="s">
        <v>36</v>
      </c>
      <c r="B30" s="2" t="s">
        <v>44</v>
      </c>
      <c r="C30" s="6">
        <v>43109.402000000002</v>
      </c>
      <c r="D30" s="6"/>
      <c r="E30">
        <f t="shared" si="0"/>
        <v>3801.5096718755917</v>
      </c>
      <c r="F30">
        <f t="shared" si="1"/>
        <v>3801.5</v>
      </c>
      <c r="G30">
        <f t="shared" si="4"/>
        <v>9.4008000014582649E-3</v>
      </c>
      <c r="I30">
        <f t="shared" si="5"/>
        <v>9.4008000014582649E-3</v>
      </c>
      <c r="O30">
        <f t="shared" ca="1" si="2"/>
        <v>-3.5214539523230337E-4</v>
      </c>
      <c r="Q30" s="1">
        <f t="shared" si="3"/>
        <v>28090.902000000002</v>
      </c>
      <c r="AB30">
        <v>6</v>
      </c>
      <c r="AC30" t="s">
        <v>28</v>
      </c>
      <c r="AE30" t="s">
        <v>30</v>
      </c>
    </row>
    <row r="31" spans="1:31" x14ac:dyDescent="0.2">
      <c r="A31" t="s">
        <v>36</v>
      </c>
      <c r="C31" s="6">
        <v>43127.370999999999</v>
      </c>
      <c r="D31" s="6"/>
      <c r="E31">
        <f t="shared" si="0"/>
        <v>3819.9968147256768</v>
      </c>
      <c r="F31">
        <f t="shared" si="1"/>
        <v>3820</v>
      </c>
      <c r="G31">
        <f t="shared" si="4"/>
        <v>-3.0960000003688037E-3</v>
      </c>
      <c r="I31">
        <f t="shared" si="5"/>
        <v>-3.0960000003688037E-3</v>
      </c>
      <c r="O31">
        <f t="shared" ca="1" si="2"/>
        <v>-3.1552479229452444E-4</v>
      </c>
      <c r="Q31" s="1">
        <f t="shared" si="3"/>
        <v>28108.870999999999</v>
      </c>
      <c r="AB31">
        <v>6</v>
      </c>
      <c r="AC31" t="s">
        <v>28</v>
      </c>
      <c r="AE31" t="s">
        <v>30</v>
      </c>
    </row>
    <row r="32" spans="1:31" x14ac:dyDescent="0.2">
      <c r="A32" t="s">
        <v>37</v>
      </c>
      <c r="C32" s="6">
        <v>43161.396000000001</v>
      </c>
      <c r="D32" s="6"/>
      <c r="E32">
        <f t="shared" si="0"/>
        <v>3855.0029383538294</v>
      </c>
      <c r="F32">
        <f t="shared" si="1"/>
        <v>3855</v>
      </c>
      <c r="G32">
        <f t="shared" si="4"/>
        <v>2.8559999991557561E-3</v>
      </c>
      <c r="I32">
        <f t="shared" si="5"/>
        <v>2.8559999991557561E-3</v>
      </c>
      <c r="O32">
        <f t="shared" ca="1" si="2"/>
        <v>-2.4624257052034779E-4</v>
      </c>
      <c r="Q32" s="1">
        <f t="shared" si="3"/>
        <v>28142.896000000001</v>
      </c>
      <c r="AB32">
        <v>6</v>
      </c>
      <c r="AC32" t="s">
        <v>28</v>
      </c>
      <c r="AE32" t="s">
        <v>30</v>
      </c>
    </row>
    <row r="33" spans="1:31" x14ac:dyDescent="0.2">
      <c r="A33" t="s">
        <v>37</v>
      </c>
      <c r="B33" s="2" t="s">
        <v>44</v>
      </c>
      <c r="C33" s="6">
        <v>43182.296999999999</v>
      </c>
      <c r="D33" s="6"/>
      <c r="E33">
        <f t="shared" si="0"/>
        <v>3876.5066265228788</v>
      </c>
      <c r="F33">
        <f t="shared" si="1"/>
        <v>3876.5</v>
      </c>
      <c r="G33">
        <f t="shared" si="4"/>
        <v>6.4407999961986206E-3</v>
      </c>
      <c r="I33">
        <f t="shared" si="5"/>
        <v>6.4407999961986206E-3</v>
      </c>
      <c r="O33">
        <f t="shared" ca="1" si="2"/>
        <v>-2.0368349143049663E-4</v>
      </c>
      <c r="Q33" s="1">
        <f t="shared" si="3"/>
        <v>28163.796999999999</v>
      </c>
      <c r="AB33">
        <v>6</v>
      </c>
      <c r="AC33" t="s">
        <v>28</v>
      </c>
      <c r="AE33" t="s">
        <v>30</v>
      </c>
    </row>
    <row r="34" spans="1:31" x14ac:dyDescent="0.2">
      <c r="A34" t="s">
        <v>38</v>
      </c>
      <c r="B34" s="2" t="s">
        <v>44</v>
      </c>
      <c r="C34" s="6">
        <v>43380.574999999997</v>
      </c>
      <c r="D34" s="6"/>
      <c r="E34">
        <f t="shared" si="0"/>
        <v>4080.502046970857</v>
      </c>
      <c r="F34">
        <f t="shared" si="1"/>
        <v>4080.5</v>
      </c>
      <c r="G34">
        <f t="shared" si="4"/>
        <v>1.9895999939762987E-3</v>
      </c>
      <c r="I34">
        <f t="shared" si="5"/>
        <v>1.9895999939762987E-3</v>
      </c>
      <c r="O34">
        <f t="shared" ca="1" si="2"/>
        <v>2.0013288691041881E-4</v>
      </c>
      <c r="Q34" s="1">
        <f t="shared" si="3"/>
        <v>28362.074999999997</v>
      </c>
      <c r="AB34">
        <v>6</v>
      </c>
      <c r="AC34" t="s">
        <v>28</v>
      </c>
      <c r="AE34" t="s">
        <v>30</v>
      </c>
    </row>
    <row r="35" spans="1:31" x14ac:dyDescent="0.2">
      <c r="A35" t="s">
        <v>39</v>
      </c>
      <c r="C35" s="6">
        <v>43396.595999999998</v>
      </c>
      <c r="D35" s="6"/>
      <c r="E35">
        <f t="shared" si="0"/>
        <v>4096.9850185108016</v>
      </c>
      <c r="F35">
        <f t="shared" si="1"/>
        <v>4097</v>
      </c>
      <c r="G35">
        <f t="shared" si="4"/>
        <v>-1.4561600000888575E-2</v>
      </c>
      <c r="I35">
        <f t="shared" si="5"/>
        <v>-1.4561600000888575E-2</v>
      </c>
      <c r="O35">
        <f t="shared" ca="1" si="2"/>
        <v>2.327945057468174E-4</v>
      </c>
      <c r="Q35" s="1">
        <f t="shared" si="3"/>
        <v>28378.095999999998</v>
      </c>
      <c r="AB35">
        <v>7</v>
      </c>
      <c r="AC35" t="s">
        <v>28</v>
      </c>
      <c r="AE35" t="s">
        <v>30</v>
      </c>
    </row>
    <row r="36" spans="1:31" x14ac:dyDescent="0.2">
      <c r="A36" t="s">
        <v>39</v>
      </c>
      <c r="C36" s="6">
        <v>43397.591999999997</v>
      </c>
      <c r="D36" s="6"/>
      <c r="E36">
        <f t="shared" si="0"/>
        <v>4098.0097385441186</v>
      </c>
      <c r="F36">
        <f t="shared" si="1"/>
        <v>4098</v>
      </c>
      <c r="G36">
        <f t="shared" si="4"/>
        <v>9.4655999928363599E-3</v>
      </c>
      <c r="I36">
        <f t="shared" si="5"/>
        <v>9.4655999928363599E-3</v>
      </c>
      <c r="O36">
        <f t="shared" ca="1" si="2"/>
        <v>2.3477399779750843E-4</v>
      </c>
      <c r="Q36" s="1">
        <f t="shared" si="3"/>
        <v>28379.091999999997</v>
      </c>
      <c r="AB36">
        <v>11</v>
      </c>
      <c r="AC36" t="s">
        <v>28</v>
      </c>
      <c r="AE36" t="s">
        <v>30</v>
      </c>
    </row>
    <row r="37" spans="1:31" x14ac:dyDescent="0.2">
      <c r="A37" t="s">
        <v>39</v>
      </c>
      <c r="B37" s="2" t="s">
        <v>44</v>
      </c>
      <c r="C37" s="6">
        <v>43459.33</v>
      </c>
      <c r="D37" s="6"/>
      <c r="E37">
        <f t="shared" si="0"/>
        <v>4161.52797691458</v>
      </c>
      <c r="F37">
        <f t="shared" si="1"/>
        <v>4161.5</v>
      </c>
      <c r="G37">
        <f t="shared" si="4"/>
        <v>2.7192800000193529E-2</v>
      </c>
      <c r="I37">
        <f t="shared" si="5"/>
        <v>2.7192800000193529E-2</v>
      </c>
      <c r="O37">
        <f t="shared" ca="1" si="2"/>
        <v>3.6047174301637175E-4</v>
      </c>
      <c r="Q37" s="1">
        <f t="shared" si="3"/>
        <v>28440.83</v>
      </c>
      <c r="AB37">
        <v>9</v>
      </c>
      <c r="AC37" t="s">
        <v>28</v>
      </c>
      <c r="AE37" t="s">
        <v>30</v>
      </c>
    </row>
    <row r="38" spans="1:31" x14ac:dyDescent="0.2">
      <c r="A38" t="s">
        <v>40</v>
      </c>
      <c r="C38" s="6">
        <v>43510.332000000002</v>
      </c>
      <c r="D38" s="6"/>
      <c r="E38">
        <f t="shared" si="0"/>
        <v>4214.0006387010008</v>
      </c>
      <c r="F38">
        <f t="shared" si="1"/>
        <v>4214</v>
      </c>
      <c r="G38">
        <f t="shared" si="4"/>
        <v>6.2079999770503491E-4</v>
      </c>
      <c r="I38">
        <f t="shared" si="5"/>
        <v>6.2079999770503491E-4</v>
      </c>
      <c r="O38">
        <f t="shared" ca="1" si="2"/>
        <v>4.6439507567763716E-4</v>
      </c>
      <c r="Q38" s="1">
        <f t="shared" si="3"/>
        <v>28491.832000000002</v>
      </c>
      <c r="AB38">
        <v>11</v>
      </c>
      <c r="AC38" t="s">
        <v>28</v>
      </c>
      <c r="AE38" t="s">
        <v>30</v>
      </c>
    </row>
    <row r="39" spans="1:31" x14ac:dyDescent="0.2">
      <c r="A39" t="s">
        <v>41</v>
      </c>
      <c r="C39" s="6">
        <v>43783.464</v>
      </c>
      <c r="D39" s="6"/>
      <c r="E39">
        <f t="shared" si="0"/>
        <v>4495.0085022955354</v>
      </c>
      <c r="F39">
        <f t="shared" si="1"/>
        <v>4495</v>
      </c>
      <c r="G39">
        <f t="shared" si="4"/>
        <v>8.2639999964158051E-3</v>
      </c>
      <c r="I39">
        <f t="shared" si="5"/>
        <v>8.2639999964158051E-3</v>
      </c>
      <c r="O39">
        <f t="shared" ca="1" si="2"/>
        <v>1.0206323419217414E-3</v>
      </c>
      <c r="Q39" s="1">
        <f t="shared" si="3"/>
        <v>28764.964</v>
      </c>
      <c r="AB39">
        <v>6</v>
      </c>
      <c r="AC39" t="s">
        <v>28</v>
      </c>
      <c r="AE39" t="s">
        <v>30</v>
      </c>
    </row>
    <row r="40" spans="1:31" x14ac:dyDescent="0.2">
      <c r="A40" t="s">
        <v>42</v>
      </c>
      <c r="B40" s="2" t="s">
        <v>44</v>
      </c>
      <c r="C40" s="6">
        <v>43837.406000000003</v>
      </c>
      <c r="D40" s="6"/>
      <c r="E40">
        <f t="shared" si="0"/>
        <v>4550.5059400839209</v>
      </c>
      <c r="F40">
        <f t="shared" si="1"/>
        <v>4550.5</v>
      </c>
      <c r="G40">
        <f t="shared" si="4"/>
        <v>5.7736000017030165E-3</v>
      </c>
      <c r="I40">
        <f t="shared" si="5"/>
        <v>5.7736000017030165E-3</v>
      </c>
      <c r="O40">
        <f t="shared" ca="1" si="2"/>
        <v>1.1304941507350782E-3</v>
      </c>
      <c r="Q40" s="1">
        <f t="shared" si="3"/>
        <v>28818.906000000003</v>
      </c>
      <c r="AB40">
        <v>6</v>
      </c>
      <c r="AC40" t="s">
        <v>28</v>
      </c>
      <c r="AE40" t="s">
        <v>30</v>
      </c>
    </row>
    <row r="41" spans="1:31" x14ac:dyDescent="0.2">
      <c r="A41" t="s">
        <v>43</v>
      </c>
      <c r="C41" s="6">
        <v>44201.408000000003</v>
      </c>
      <c r="D41" s="6"/>
      <c r="E41">
        <f t="shared" si="0"/>
        <v>4925.0040741880857</v>
      </c>
      <c r="F41">
        <f t="shared" si="1"/>
        <v>4925</v>
      </c>
      <c r="G41">
        <f t="shared" si="4"/>
        <v>3.9600000018253922E-3</v>
      </c>
      <c r="I41">
        <f t="shared" si="5"/>
        <v>3.9600000018253922E-3</v>
      </c>
      <c r="O41">
        <f t="shared" ca="1" si="2"/>
        <v>1.8718139237187698E-3</v>
      </c>
      <c r="Q41" s="1">
        <f t="shared" si="3"/>
        <v>29182.908000000003</v>
      </c>
      <c r="AB41">
        <v>6</v>
      </c>
      <c r="AC41" t="s">
        <v>28</v>
      </c>
      <c r="AE41" t="s">
        <v>30</v>
      </c>
    </row>
    <row r="42" spans="1:31" x14ac:dyDescent="0.2">
      <c r="A42" t="s">
        <v>47</v>
      </c>
      <c r="B42" s="2" t="s">
        <v>44</v>
      </c>
      <c r="C42" s="6">
        <v>48687.556199999999</v>
      </c>
      <c r="D42" s="6">
        <v>2.0000000000000001E-4</v>
      </c>
      <c r="E42">
        <f t="shared" si="0"/>
        <v>9540.5120390200191</v>
      </c>
      <c r="F42">
        <f t="shared" si="1"/>
        <v>9540.5</v>
      </c>
      <c r="G42">
        <f t="shared" si="4"/>
        <v>1.1701599993102718E-2</v>
      </c>
      <c r="J42">
        <f>+G42</f>
        <v>1.1701599993102718E-2</v>
      </c>
      <c r="O42">
        <f t="shared" ca="1" si="2"/>
        <v>1.100815948368199E-2</v>
      </c>
      <c r="Q42" s="1">
        <f t="shared" si="3"/>
        <v>33669.056199999999</v>
      </c>
    </row>
    <row r="43" spans="1:31" x14ac:dyDescent="0.2">
      <c r="A43" t="s">
        <v>46</v>
      </c>
      <c r="B43" s="2" t="s">
        <v>45</v>
      </c>
      <c r="C43" s="8">
        <v>51626.320599999999</v>
      </c>
      <c r="D43" s="8">
        <v>1.6999999999999999E-3</v>
      </c>
      <c r="E43">
        <f t="shared" si="0"/>
        <v>12564.01681199309</v>
      </c>
      <c r="F43">
        <f t="shared" si="1"/>
        <v>12564</v>
      </c>
      <c r="G43">
        <f t="shared" si="4"/>
        <v>1.6340800000762101E-2</v>
      </c>
      <c r="J43">
        <f>+G43</f>
        <v>1.6340800000762101E-2</v>
      </c>
      <c r="O43">
        <f t="shared" ca="1" si="2"/>
        <v>1.6993153698945516E-2</v>
      </c>
      <c r="Q43" s="1">
        <f t="shared" si="3"/>
        <v>36607.820599999999</v>
      </c>
    </row>
    <row r="44" spans="1:31" x14ac:dyDescent="0.2">
      <c r="A44" s="9" t="s">
        <v>61</v>
      </c>
      <c r="B44" s="10" t="s">
        <v>45</v>
      </c>
      <c r="C44" s="9">
        <v>51899.445440000003</v>
      </c>
      <c r="D44" s="9">
        <v>1.1999999999999999E-3</v>
      </c>
      <c r="E44">
        <f t="shared" si="0"/>
        <v>12845.017309126348</v>
      </c>
      <c r="F44">
        <f t="shared" si="1"/>
        <v>12845</v>
      </c>
      <c r="G44">
        <f t="shared" si="4"/>
        <v>1.6823999998450745E-2</v>
      </c>
      <c r="K44">
        <f>+G44</f>
        <v>1.6823999998450745E-2</v>
      </c>
      <c r="O44">
        <f t="shared" ca="1" si="2"/>
        <v>1.7549390965189621E-2</v>
      </c>
      <c r="Q44" s="1">
        <f t="shared" si="3"/>
        <v>36880.945440000003</v>
      </c>
    </row>
    <row r="45" spans="1:31" x14ac:dyDescent="0.2">
      <c r="A45" s="36" t="s">
        <v>99</v>
      </c>
      <c r="B45" s="37" t="s">
        <v>44</v>
      </c>
      <c r="C45" s="38">
        <v>51955.335800000001</v>
      </c>
      <c r="D45" s="16"/>
      <c r="E45">
        <f t="shared" si="0"/>
        <v>12902.519288605607</v>
      </c>
      <c r="F45">
        <f t="shared" si="1"/>
        <v>12902.5</v>
      </c>
      <c r="G45">
        <f t="shared" si="4"/>
        <v>1.8748000002233312E-2</v>
      </c>
      <c r="K45">
        <f>+G45</f>
        <v>1.8748000002233312E-2</v>
      </c>
      <c r="O45">
        <f t="shared" ca="1" si="2"/>
        <v>1.7663211758104338E-2</v>
      </c>
      <c r="Q45" s="1">
        <f t="shared" si="3"/>
        <v>36936.835800000001</v>
      </c>
    </row>
    <row r="46" spans="1:31" x14ac:dyDescent="0.2">
      <c r="A46" s="11" t="s">
        <v>49</v>
      </c>
      <c r="B46" s="12" t="s">
        <v>45</v>
      </c>
      <c r="C46" s="11">
        <v>52279.486599999997</v>
      </c>
      <c r="D46" s="13">
        <v>4.7000000000000002E-3</v>
      </c>
      <c r="E46">
        <f t="shared" si="0"/>
        <v>13236.017098420856</v>
      </c>
      <c r="F46">
        <f t="shared" si="1"/>
        <v>13236</v>
      </c>
      <c r="G46">
        <f t="shared" si="4"/>
        <v>1.6619199996057432E-2</v>
      </c>
      <c r="K46">
        <f>+G46</f>
        <v>1.6619199996057432E-2</v>
      </c>
      <c r="O46">
        <f t="shared" ca="1" si="2"/>
        <v>1.8323372357009707E-2</v>
      </c>
      <c r="Q46" s="1">
        <f t="shared" si="3"/>
        <v>37260.986599999997</v>
      </c>
    </row>
    <row r="47" spans="1:31" x14ac:dyDescent="0.2">
      <c r="A47" s="9" t="s">
        <v>61</v>
      </c>
      <c r="B47" s="10" t="s">
        <v>45</v>
      </c>
      <c r="C47" s="9">
        <v>52321.28325</v>
      </c>
      <c r="D47" s="9" t="s">
        <v>62</v>
      </c>
      <c r="E47">
        <f t="shared" si="0"/>
        <v>13279.018970489707</v>
      </c>
      <c r="F47">
        <f t="shared" si="1"/>
        <v>13279</v>
      </c>
      <c r="G47">
        <f t="shared" si="4"/>
        <v>1.8438799997966271E-2</v>
      </c>
      <c r="K47">
        <f>+G47</f>
        <v>1.8438799997966271E-2</v>
      </c>
      <c r="O47">
        <f t="shared" ca="1" si="2"/>
        <v>1.8408490515189412E-2</v>
      </c>
      <c r="Q47" s="1">
        <f t="shared" si="3"/>
        <v>37302.78325</v>
      </c>
    </row>
    <row r="48" spans="1:31" x14ac:dyDescent="0.2">
      <c r="A48" s="36" t="s">
        <v>112</v>
      </c>
      <c r="B48" s="37" t="s">
        <v>45</v>
      </c>
      <c r="C48" s="38">
        <v>53744.254300000001</v>
      </c>
      <c r="D48" s="16"/>
      <c r="E48">
        <f t="shared" si="0"/>
        <v>14743.021924070303</v>
      </c>
      <c r="F48">
        <f t="shared" si="1"/>
        <v>14743</v>
      </c>
      <c r="G48">
        <f t="shared" si="4"/>
        <v>2.1309600000677165E-2</v>
      </c>
      <c r="K48">
        <f>+G48</f>
        <v>2.1309600000677165E-2</v>
      </c>
      <c r="O48">
        <f t="shared" ca="1" si="2"/>
        <v>2.130646687740069E-2</v>
      </c>
      <c r="Q48" s="1">
        <f t="shared" si="3"/>
        <v>38725.754300000001</v>
      </c>
    </row>
    <row r="49" spans="1:17" x14ac:dyDescent="0.2">
      <c r="A49" s="14" t="s">
        <v>63</v>
      </c>
      <c r="B49" s="15" t="s">
        <v>45</v>
      </c>
      <c r="C49" s="16">
        <v>53744.25434</v>
      </c>
      <c r="D49" s="16">
        <v>4.0000000000000002E-4</v>
      </c>
      <c r="E49">
        <f t="shared" si="0"/>
        <v>14743.021965223716</v>
      </c>
      <c r="F49">
        <f t="shared" si="1"/>
        <v>14743</v>
      </c>
      <c r="G49">
        <f t="shared" si="4"/>
        <v>2.134959999966668E-2</v>
      </c>
      <c r="K49">
        <f>+G49</f>
        <v>2.134959999966668E-2</v>
      </c>
      <c r="O49">
        <f t="shared" ca="1" si="2"/>
        <v>2.130646687740069E-2</v>
      </c>
      <c r="Q49" s="1">
        <f t="shared" si="3"/>
        <v>38725.75434</v>
      </c>
    </row>
    <row r="50" spans="1:17" x14ac:dyDescent="0.2">
      <c r="A50" s="16" t="s">
        <v>60</v>
      </c>
      <c r="B50" s="15" t="s">
        <v>45</v>
      </c>
      <c r="C50" s="16">
        <v>54390.608</v>
      </c>
      <c r="D50" s="16">
        <v>2.5000000000000001E-3</v>
      </c>
      <c r="E50">
        <f t="shared" si="0"/>
        <v>15408.013475274203</v>
      </c>
      <c r="F50">
        <f t="shared" si="1"/>
        <v>15408</v>
      </c>
      <c r="K50" s="3">
        <v>1.3097600000037346E-2</v>
      </c>
      <c r="O50">
        <f t="shared" ca="1" si="2"/>
        <v>2.2622829091110047E-2</v>
      </c>
      <c r="Q50" s="1">
        <f t="shared" si="3"/>
        <v>39372.108</v>
      </c>
    </row>
    <row r="51" spans="1:17" x14ac:dyDescent="0.2">
      <c r="A51" s="18" t="s">
        <v>64</v>
      </c>
      <c r="B51" s="19" t="s">
        <v>45</v>
      </c>
      <c r="C51" s="18">
        <v>55144.871899999998</v>
      </c>
      <c r="D51" s="18">
        <v>2.9999999999999997E-4</v>
      </c>
      <c r="E51">
        <f t="shared" si="0"/>
        <v>16184.026857541689</v>
      </c>
      <c r="F51">
        <f t="shared" si="1"/>
        <v>16184</v>
      </c>
      <c r="G51">
        <f>+C51-(C$7+F51*C$8)</f>
        <v>2.6104799995664507E-2</v>
      </c>
      <c r="K51">
        <f>+G51</f>
        <v>2.6104799995664507E-2</v>
      </c>
      <c r="O51">
        <f t="shared" ca="1" si="2"/>
        <v>2.4158914922446081E-2</v>
      </c>
      <c r="Q51" s="1">
        <f t="shared" si="3"/>
        <v>40126.371899999998</v>
      </c>
    </row>
    <row r="52" spans="1:17" x14ac:dyDescent="0.2">
      <c r="A52" s="14" t="s">
        <v>67</v>
      </c>
      <c r="B52" s="15" t="s">
        <v>44</v>
      </c>
      <c r="C52" s="16">
        <v>55506.931600000004</v>
      </c>
      <c r="D52" s="16">
        <v>5.9999999999999995E-4</v>
      </c>
      <c r="E52">
        <f t="shared" si="0"/>
        <v>16556.52668469735</v>
      </c>
      <c r="F52">
        <f t="shared" si="1"/>
        <v>16556.5</v>
      </c>
      <c r="G52">
        <f>+C52-(C$7+F52*C$8)</f>
        <v>2.5936800004274119E-2</v>
      </c>
      <c r="K52">
        <f>+G52</f>
        <v>2.5936800004274119E-2</v>
      </c>
      <c r="O52">
        <f t="shared" ca="1" si="2"/>
        <v>2.4896275711328388E-2</v>
      </c>
      <c r="Q52" s="1">
        <f t="shared" si="3"/>
        <v>40488.431600000004</v>
      </c>
    </row>
    <row r="53" spans="1:17" x14ac:dyDescent="0.2">
      <c r="A53" s="36" t="s">
        <v>129</v>
      </c>
      <c r="B53" s="37" t="s">
        <v>45</v>
      </c>
      <c r="C53" s="38">
        <v>55887.4591</v>
      </c>
      <c r="D53" s="16"/>
      <c r="E53">
        <f t="shared" si="0"/>
        <v>16948.026837788053</v>
      </c>
      <c r="F53">
        <f t="shared" si="1"/>
        <v>16948</v>
      </c>
      <c r="G53">
        <f>+C53-(C$7+F53*C$8)</f>
        <v>2.6085600002261344E-2</v>
      </c>
      <c r="K53">
        <f>+G53</f>
        <v>2.6085600002261344E-2</v>
      </c>
      <c r="O53">
        <f t="shared" ca="1" si="2"/>
        <v>2.5671246849173823E-2</v>
      </c>
      <c r="Q53" s="1">
        <f t="shared" si="3"/>
        <v>40868.9591</v>
      </c>
    </row>
    <row r="54" spans="1:17" x14ac:dyDescent="0.2">
      <c r="A54" s="16" t="s">
        <v>68</v>
      </c>
      <c r="B54" s="15" t="s">
        <v>45</v>
      </c>
      <c r="C54" s="16">
        <v>55947.72</v>
      </c>
      <c r="D54" s="16">
        <v>2.9999999999999997E-4</v>
      </c>
      <c r="E54">
        <f t="shared" si="0"/>
        <v>17010.025383426368</v>
      </c>
      <c r="F54">
        <f t="shared" si="1"/>
        <v>17010</v>
      </c>
      <c r="G54">
        <f>+C54-(C$7+F54*C$8)</f>
        <v>2.4671999999554828E-2</v>
      </c>
      <c r="K54">
        <f>+G54</f>
        <v>2.4671999999554828E-2</v>
      </c>
      <c r="O54">
        <f t="shared" ca="1" si="2"/>
        <v>2.5793975356316654E-2</v>
      </c>
      <c r="Q54" s="1">
        <f t="shared" si="3"/>
        <v>40929.22</v>
      </c>
    </row>
    <row r="55" spans="1:17" x14ac:dyDescent="0.2">
      <c r="A55" s="20" t="s">
        <v>69</v>
      </c>
      <c r="B55" s="21" t="s">
        <v>44</v>
      </c>
      <c r="C55" s="22">
        <v>56312.696600000003</v>
      </c>
      <c r="D55" s="22">
        <v>5.0000000000000001E-4</v>
      </c>
      <c r="E55">
        <f t="shared" si="0"/>
        <v>17385.52622048683</v>
      </c>
      <c r="F55">
        <f t="shared" si="1"/>
        <v>17385.5</v>
      </c>
      <c r="G55">
        <f>+C55-(C$7+F55*C$8)</f>
        <v>2.5485600002866704E-2</v>
      </c>
      <c r="K55">
        <f>+G55</f>
        <v>2.5485600002866704E-2</v>
      </c>
      <c r="O55">
        <f t="shared" ca="1" si="2"/>
        <v>2.6537274621351033E-2</v>
      </c>
      <c r="Q55" s="1">
        <f t="shared" si="3"/>
        <v>41294.196600000003</v>
      </c>
    </row>
    <row r="56" spans="1:17" x14ac:dyDescent="0.2">
      <c r="A56" s="17"/>
      <c r="B56" s="15"/>
      <c r="C56" s="16"/>
      <c r="D56" s="16"/>
    </row>
    <row r="57" spans="1:17" x14ac:dyDescent="0.2">
      <c r="A57" s="17"/>
      <c r="B57" s="15"/>
      <c r="C57" s="16"/>
      <c r="D57" s="16"/>
    </row>
    <row r="58" spans="1:17" x14ac:dyDescent="0.2">
      <c r="A58" s="17"/>
      <c r="B58" s="15"/>
      <c r="C58" s="16"/>
      <c r="D58" s="16"/>
    </row>
    <row r="59" spans="1:17" x14ac:dyDescent="0.2">
      <c r="A59" s="17"/>
      <c r="B59" s="15"/>
      <c r="C59" s="16"/>
      <c r="D59" s="16"/>
    </row>
    <row r="60" spans="1:17" x14ac:dyDescent="0.2">
      <c r="A60" s="17"/>
      <c r="B60" s="15"/>
      <c r="C60" s="16"/>
      <c r="D60" s="16"/>
    </row>
    <row r="61" spans="1:17" x14ac:dyDescent="0.2">
      <c r="A61" s="17"/>
      <c r="B61" s="15"/>
      <c r="C61" s="16"/>
      <c r="D61" s="16"/>
    </row>
    <row r="62" spans="1:17" x14ac:dyDescent="0.2">
      <c r="A62" s="17"/>
      <c r="B62" s="15"/>
      <c r="C62" s="16"/>
      <c r="D62" s="16"/>
    </row>
    <row r="63" spans="1:17" x14ac:dyDescent="0.2">
      <c r="A63" s="17"/>
      <c r="B63" s="15"/>
      <c r="C63" s="16"/>
      <c r="D63" s="16"/>
    </row>
    <row r="64" spans="1:17" x14ac:dyDescent="0.2">
      <c r="A64" s="17"/>
      <c r="B64" s="15"/>
      <c r="C64" s="16"/>
      <c r="D64" s="16"/>
    </row>
    <row r="65" spans="1:4" x14ac:dyDescent="0.2">
      <c r="A65" s="17"/>
      <c r="B65" s="15"/>
      <c r="C65" s="16"/>
      <c r="D65" s="16"/>
    </row>
    <row r="66" spans="1:4" x14ac:dyDescent="0.2">
      <c r="A66" s="17"/>
      <c r="B66" s="15"/>
      <c r="C66" s="16"/>
      <c r="D66" s="16"/>
    </row>
    <row r="67" spans="1:4" x14ac:dyDescent="0.2">
      <c r="A67" s="17"/>
      <c r="B67" s="15"/>
      <c r="C67" s="16"/>
      <c r="D67" s="16"/>
    </row>
    <row r="68" spans="1:4" x14ac:dyDescent="0.2">
      <c r="A68" s="17"/>
      <c r="B68" s="15"/>
      <c r="C68" s="16"/>
      <c r="D68" s="16"/>
    </row>
    <row r="69" spans="1:4" x14ac:dyDescent="0.2">
      <c r="A69" s="17"/>
      <c r="B69" s="15"/>
      <c r="C69" s="16"/>
      <c r="D69" s="16"/>
    </row>
    <row r="70" spans="1:4" x14ac:dyDescent="0.2">
      <c r="A70" s="17"/>
      <c r="B70" s="15"/>
      <c r="C70" s="16"/>
      <c r="D70" s="16"/>
    </row>
    <row r="71" spans="1:4" x14ac:dyDescent="0.2">
      <c r="A71" s="17"/>
      <c r="B71" s="15"/>
      <c r="C71" s="16"/>
      <c r="D71" s="16"/>
    </row>
    <row r="72" spans="1:4" x14ac:dyDescent="0.2">
      <c r="A72" s="17"/>
      <c r="B72" s="15"/>
      <c r="C72" s="16"/>
      <c r="D72" s="16"/>
    </row>
    <row r="73" spans="1:4" x14ac:dyDescent="0.2">
      <c r="A73" s="17"/>
      <c r="B73" s="15"/>
      <c r="C73" s="16"/>
      <c r="D73" s="16"/>
    </row>
    <row r="74" spans="1:4" x14ac:dyDescent="0.2">
      <c r="A74" s="17"/>
      <c r="B74" s="15"/>
      <c r="C74" s="16"/>
      <c r="D74" s="16"/>
    </row>
    <row r="75" spans="1:4" x14ac:dyDescent="0.2">
      <c r="A75" s="17"/>
      <c r="B75" s="15"/>
      <c r="C75" s="16"/>
      <c r="D75" s="16"/>
    </row>
    <row r="76" spans="1:4" x14ac:dyDescent="0.2">
      <c r="A76" s="17"/>
      <c r="B76" s="15"/>
      <c r="C76" s="16"/>
      <c r="D76" s="16"/>
    </row>
    <row r="77" spans="1:4" x14ac:dyDescent="0.2">
      <c r="A77" s="17"/>
      <c r="B77" s="15"/>
      <c r="C77" s="16"/>
      <c r="D77" s="16"/>
    </row>
    <row r="78" spans="1:4" x14ac:dyDescent="0.2">
      <c r="A78" s="17"/>
      <c r="B78" s="15"/>
      <c r="C78" s="16"/>
      <c r="D78" s="16"/>
    </row>
    <row r="79" spans="1:4" x14ac:dyDescent="0.2">
      <c r="A79" s="17"/>
      <c r="B79" s="15"/>
      <c r="C79" s="16"/>
      <c r="D79" s="16"/>
    </row>
    <row r="80" spans="1:4" x14ac:dyDescent="0.2">
      <c r="A80" s="17"/>
      <c r="B80" s="15"/>
      <c r="C80" s="16"/>
      <c r="D80" s="16"/>
    </row>
    <row r="81" spans="1:4" x14ac:dyDescent="0.2">
      <c r="A81" s="17"/>
      <c r="B81" s="15"/>
      <c r="C81" s="16"/>
      <c r="D81" s="16"/>
    </row>
    <row r="82" spans="1:4" x14ac:dyDescent="0.2">
      <c r="A82" s="17"/>
      <c r="B82" s="15"/>
      <c r="C82" s="16"/>
      <c r="D82" s="16"/>
    </row>
    <row r="83" spans="1:4" x14ac:dyDescent="0.2">
      <c r="C83" s="4"/>
      <c r="D83" s="4"/>
    </row>
    <row r="84" spans="1:4" x14ac:dyDescent="0.2">
      <c r="C84" s="4"/>
      <c r="D84" s="4"/>
    </row>
    <row r="85" spans="1:4" x14ac:dyDescent="0.2">
      <c r="C85" s="4"/>
      <c r="D85" s="4"/>
    </row>
    <row r="86" spans="1:4" x14ac:dyDescent="0.2">
      <c r="C86" s="4"/>
      <c r="D86" s="4"/>
    </row>
    <row r="87" spans="1:4" x14ac:dyDescent="0.2">
      <c r="C87" s="4"/>
      <c r="D87" s="4"/>
    </row>
    <row r="88" spans="1:4" x14ac:dyDescent="0.2">
      <c r="C88" s="4"/>
      <c r="D88" s="4"/>
    </row>
    <row r="89" spans="1:4" x14ac:dyDescent="0.2">
      <c r="C89" s="4"/>
      <c r="D89" s="4"/>
    </row>
    <row r="90" spans="1:4" x14ac:dyDescent="0.2">
      <c r="C90" s="4"/>
      <c r="D90" s="4"/>
    </row>
    <row r="91" spans="1:4" x14ac:dyDescent="0.2">
      <c r="C91" s="4"/>
      <c r="D91" s="4"/>
    </row>
    <row r="92" spans="1:4" x14ac:dyDescent="0.2">
      <c r="C92" s="4"/>
      <c r="D92" s="4"/>
    </row>
    <row r="93" spans="1:4" x14ac:dyDescent="0.2">
      <c r="C93" s="4"/>
      <c r="D93" s="4"/>
    </row>
    <row r="94" spans="1:4" x14ac:dyDescent="0.2">
      <c r="C94" s="4"/>
      <c r="D94" s="4"/>
    </row>
    <row r="95" spans="1:4" x14ac:dyDescent="0.2">
      <c r="C95" s="4"/>
      <c r="D95" s="4"/>
    </row>
    <row r="96" spans="1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3"/>
  <sheetViews>
    <sheetView workbookViewId="0">
      <selection activeCell="A20" sqref="A20:C22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23" t="s">
        <v>70</v>
      </c>
      <c r="I1" s="24" t="s">
        <v>71</v>
      </c>
      <c r="J1" s="25" t="s">
        <v>72</v>
      </c>
    </row>
    <row r="2" spans="1:16" x14ac:dyDescent="0.2">
      <c r="I2" s="26" t="s">
        <v>73</v>
      </c>
      <c r="J2" s="27" t="s">
        <v>74</v>
      </c>
    </row>
    <row r="3" spans="1:16" x14ac:dyDescent="0.2">
      <c r="A3" s="28" t="s">
        <v>75</v>
      </c>
      <c r="I3" s="26" t="s">
        <v>76</v>
      </c>
      <c r="J3" s="27" t="s">
        <v>77</v>
      </c>
    </row>
    <row r="4" spans="1:16" x14ac:dyDescent="0.2">
      <c r="I4" s="26" t="s">
        <v>78</v>
      </c>
      <c r="J4" s="27" t="s">
        <v>77</v>
      </c>
    </row>
    <row r="5" spans="1:16" ht="13.5" thickBot="1" x14ac:dyDescent="0.25">
      <c r="I5" s="29" t="s">
        <v>79</v>
      </c>
      <c r="J5" s="30" t="s">
        <v>80</v>
      </c>
    </row>
    <row r="10" spans="1:16" ht="13.5" thickBot="1" x14ac:dyDescent="0.25"/>
    <row r="11" spans="1:16" ht="12.75" customHeight="1" thickBot="1" x14ac:dyDescent="0.25">
      <c r="A11" s="4" t="str">
        <f t="shared" ref="A11:A22" si="0">P11</f>
        <v>IBVS 5287 </v>
      </c>
      <c r="B11" s="2" t="str">
        <f t="shared" ref="B11:B22" si="1">IF(H11=INT(H11),"I","II")</f>
        <v>I</v>
      </c>
      <c r="C11" s="4">
        <f t="shared" ref="C11:C22" si="2">1*G11</f>
        <v>51626.320599999999</v>
      </c>
      <c r="D11" s="5" t="str">
        <f t="shared" ref="D11:D22" si="3">VLOOKUP(F11,I$1:J$5,2,FALSE)</f>
        <v>vis</v>
      </c>
      <c r="E11" s="31">
        <f>VLOOKUP(C11,Active!C$21:E$973,3,FALSE)</f>
        <v>12564.01681199309</v>
      </c>
      <c r="F11" s="2" t="s">
        <v>79</v>
      </c>
      <c r="G11" s="5" t="str">
        <f t="shared" ref="G11:G22" si="4">MID(I11,3,LEN(I11)-3)</f>
        <v>51626.3206</v>
      </c>
      <c r="H11" s="4">
        <f t="shared" ref="H11:H22" si="5">1*K11</f>
        <v>12564</v>
      </c>
      <c r="I11" s="32" t="s">
        <v>81</v>
      </c>
      <c r="J11" s="33" t="s">
        <v>82</v>
      </c>
      <c r="K11" s="32">
        <v>12564</v>
      </c>
      <c r="L11" s="32" t="s">
        <v>83</v>
      </c>
      <c r="M11" s="33" t="s">
        <v>84</v>
      </c>
      <c r="N11" s="33" t="s">
        <v>85</v>
      </c>
      <c r="O11" s="34" t="s">
        <v>86</v>
      </c>
      <c r="P11" s="35" t="s">
        <v>87</v>
      </c>
    </row>
    <row r="12" spans="1:16" ht="12.75" customHeight="1" thickBot="1" x14ac:dyDescent="0.25">
      <c r="A12" s="4" t="str">
        <f t="shared" si="0"/>
        <v>OEJV 0074 </v>
      </c>
      <c r="B12" s="2" t="str">
        <f t="shared" si="1"/>
        <v>I</v>
      </c>
      <c r="C12" s="4">
        <f t="shared" si="2"/>
        <v>51899.445440000003</v>
      </c>
      <c r="D12" s="5" t="str">
        <f t="shared" si="3"/>
        <v>vis</v>
      </c>
      <c r="E12" s="31">
        <f>VLOOKUP(C12,Active!C$21:E$973,3,FALSE)</f>
        <v>12845.017309126348</v>
      </c>
      <c r="F12" s="2" t="s">
        <v>79</v>
      </c>
      <c r="G12" s="5" t="str">
        <f t="shared" si="4"/>
        <v>51899.44544</v>
      </c>
      <c r="H12" s="4">
        <f t="shared" si="5"/>
        <v>12845</v>
      </c>
      <c r="I12" s="32" t="s">
        <v>88</v>
      </c>
      <c r="J12" s="33" t="s">
        <v>89</v>
      </c>
      <c r="K12" s="32">
        <v>12845</v>
      </c>
      <c r="L12" s="32" t="s">
        <v>90</v>
      </c>
      <c r="M12" s="33" t="s">
        <v>91</v>
      </c>
      <c r="N12" s="33" t="s">
        <v>92</v>
      </c>
      <c r="O12" s="34" t="s">
        <v>93</v>
      </c>
      <c r="P12" s="35" t="s">
        <v>94</v>
      </c>
    </row>
    <row r="13" spans="1:16" ht="12.75" customHeight="1" thickBot="1" x14ac:dyDescent="0.25">
      <c r="A13" s="4" t="str">
        <f t="shared" si="0"/>
        <v>IBVS 5583 </v>
      </c>
      <c r="B13" s="2" t="str">
        <f t="shared" si="1"/>
        <v>I</v>
      </c>
      <c r="C13" s="4">
        <f t="shared" si="2"/>
        <v>52279.486599999997</v>
      </c>
      <c r="D13" s="5" t="str">
        <f t="shared" si="3"/>
        <v>vis</v>
      </c>
      <c r="E13" s="31">
        <f>VLOOKUP(C13,Active!C$21:E$973,3,FALSE)</f>
        <v>13236.017098420856</v>
      </c>
      <c r="F13" s="2" t="s">
        <v>79</v>
      </c>
      <c r="G13" s="5" t="str">
        <f t="shared" si="4"/>
        <v>52279.4866</v>
      </c>
      <c r="H13" s="4">
        <f t="shared" si="5"/>
        <v>13236</v>
      </c>
      <c r="I13" s="32" t="s">
        <v>100</v>
      </c>
      <c r="J13" s="33" t="s">
        <v>101</v>
      </c>
      <c r="K13" s="32">
        <v>13236</v>
      </c>
      <c r="L13" s="32" t="s">
        <v>102</v>
      </c>
      <c r="M13" s="33" t="s">
        <v>84</v>
      </c>
      <c r="N13" s="33" t="s">
        <v>85</v>
      </c>
      <c r="O13" s="34" t="s">
        <v>86</v>
      </c>
      <c r="P13" s="35" t="s">
        <v>103</v>
      </c>
    </row>
    <row r="14" spans="1:16" ht="12.75" customHeight="1" thickBot="1" x14ac:dyDescent="0.25">
      <c r="A14" s="4" t="str">
        <f t="shared" si="0"/>
        <v>OEJV 0074 </v>
      </c>
      <c r="B14" s="2" t="str">
        <f t="shared" si="1"/>
        <v>I</v>
      </c>
      <c r="C14" s="4">
        <f t="shared" si="2"/>
        <v>52321.28325</v>
      </c>
      <c r="D14" s="5" t="str">
        <f t="shared" si="3"/>
        <v>vis</v>
      </c>
      <c r="E14" s="31">
        <f>VLOOKUP(C14,Active!C$21:E$973,3,FALSE)</f>
        <v>13279.018970489707</v>
      </c>
      <c r="F14" s="2" t="s">
        <v>79</v>
      </c>
      <c r="G14" s="5" t="str">
        <f t="shared" si="4"/>
        <v>52321.28325</v>
      </c>
      <c r="H14" s="4">
        <f t="shared" si="5"/>
        <v>13279</v>
      </c>
      <c r="I14" s="32" t="s">
        <v>104</v>
      </c>
      <c r="J14" s="33" t="s">
        <v>105</v>
      </c>
      <c r="K14" s="32">
        <v>13279</v>
      </c>
      <c r="L14" s="32" t="s">
        <v>106</v>
      </c>
      <c r="M14" s="33" t="s">
        <v>91</v>
      </c>
      <c r="N14" s="33" t="s">
        <v>71</v>
      </c>
      <c r="O14" s="34" t="s">
        <v>93</v>
      </c>
      <c r="P14" s="35" t="s">
        <v>94</v>
      </c>
    </row>
    <row r="15" spans="1:16" ht="12.75" customHeight="1" thickBot="1" x14ac:dyDescent="0.25">
      <c r="A15" s="4" t="str">
        <f t="shared" si="0"/>
        <v>BAVM 201 </v>
      </c>
      <c r="B15" s="2" t="str">
        <f t="shared" si="1"/>
        <v>I</v>
      </c>
      <c r="C15" s="4">
        <f t="shared" si="2"/>
        <v>54390.608</v>
      </c>
      <c r="D15" s="5" t="str">
        <f t="shared" si="3"/>
        <v>vis</v>
      </c>
      <c r="E15" s="31">
        <f>VLOOKUP(C15,Active!C$21:E$973,3,FALSE)</f>
        <v>15408.013475274203</v>
      </c>
      <c r="F15" s="2" t="s">
        <v>79</v>
      </c>
      <c r="G15" s="5" t="str">
        <f t="shared" si="4"/>
        <v>54390.6080</v>
      </c>
      <c r="H15" s="4">
        <f t="shared" si="5"/>
        <v>15408</v>
      </c>
      <c r="I15" s="32" t="s">
        <v>113</v>
      </c>
      <c r="J15" s="33" t="s">
        <v>114</v>
      </c>
      <c r="K15" s="32">
        <v>15408</v>
      </c>
      <c r="L15" s="32" t="s">
        <v>115</v>
      </c>
      <c r="M15" s="33" t="s">
        <v>91</v>
      </c>
      <c r="N15" s="33" t="s">
        <v>92</v>
      </c>
      <c r="O15" s="34" t="s">
        <v>116</v>
      </c>
      <c r="P15" s="35" t="s">
        <v>117</v>
      </c>
    </row>
    <row r="16" spans="1:16" ht="12.75" customHeight="1" thickBot="1" x14ac:dyDescent="0.25">
      <c r="A16" s="4" t="str">
        <f t="shared" si="0"/>
        <v>IBVS 5920 </v>
      </c>
      <c r="B16" s="2" t="str">
        <f t="shared" si="1"/>
        <v>I</v>
      </c>
      <c r="C16" s="4">
        <f t="shared" si="2"/>
        <v>55144.871899999998</v>
      </c>
      <c r="D16" s="5" t="str">
        <f t="shared" si="3"/>
        <v>vis</v>
      </c>
      <c r="E16" s="31">
        <f>VLOOKUP(C16,Active!C$21:E$973,3,FALSE)</f>
        <v>16184.026857541689</v>
      </c>
      <c r="F16" s="2" t="s">
        <v>79</v>
      </c>
      <c r="G16" s="5" t="str">
        <f t="shared" si="4"/>
        <v>55144.8719</v>
      </c>
      <c r="H16" s="4">
        <f t="shared" si="5"/>
        <v>16184</v>
      </c>
      <c r="I16" s="32" t="s">
        <v>118</v>
      </c>
      <c r="J16" s="33" t="s">
        <v>119</v>
      </c>
      <c r="K16" s="32">
        <v>16184</v>
      </c>
      <c r="L16" s="32" t="s">
        <v>120</v>
      </c>
      <c r="M16" s="33" t="s">
        <v>91</v>
      </c>
      <c r="N16" s="33" t="s">
        <v>79</v>
      </c>
      <c r="O16" s="34" t="s">
        <v>98</v>
      </c>
      <c r="P16" s="35" t="s">
        <v>121</v>
      </c>
    </row>
    <row r="17" spans="1:16" ht="12.75" customHeight="1" thickBot="1" x14ac:dyDescent="0.25">
      <c r="A17" s="4" t="str">
        <f t="shared" si="0"/>
        <v>IBVS 5960 </v>
      </c>
      <c r="B17" s="2" t="str">
        <f t="shared" si="1"/>
        <v>II</v>
      </c>
      <c r="C17" s="4">
        <f t="shared" si="2"/>
        <v>55506.931600000004</v>
      </c>
      <c r="D17" s="5" t="str">
        <f t="shared" si="3"/>
        <v>vis</v>
      </c>
      <c r="E17" s="31">
        <f>VLOOKUP(C17,Active!C$21:E$973,3,FALSE)</f>
        <v>16556.52668469735</v>
      </c>
      <c r="F17" s="2" t="s">
        <v>79</v>
      </c>
      <c r="G17" s="5" t="str">
        <f t="shared" si="4"/>
        <v>55506.9316</v>
      </c>
      <c r="H17" s="4">
        <f t="shared" si="5"/>
        <v>16556.5</v>
      </c>
      <c r="I17" s="32" t="s">
        <v>122</v>
      </c>
      <c r="J17" s="33" t="s">
        <v>123</v>
      </c>
      <c r="K17" s="32">
        <v>16556.5</v>
      </c>
      <c r="L17" s="32" t="s">
        <v>124</v>
      </c>
      <c r="M17" s="33" t="s">
        <v>91</v>
      </c>
      <c r="N17" s="33" t="s">
        <v>79</v>
      </c>
      <c r="O17" s="34" t="s">
        <v>98</v>
      </c>
      <c r="P17" s="35" t="s">
        <v>125</v>
      </c>
    </row>
    <row r="18" spans="1:16" ht="12.75" customHeight="1" thickBot="1" x14ac:dyDescent="0.25">
      <c r="A18" s="4" t="str">
        <f t="shared" si="0"/>
        <v>IBVS 6029 </v>
      </c>
      <c r="B18" s="2" t="str">
        <f t="shared" si="1"/>
        <v>I</v>
      </c>
      <c r="C18" s="4">
        <f t="shared" si="2"/>
        <v>55947.72</v>
      </c>
      <c r="D18" s="5" t="str">
        <f t="shared" si="3"/>
        <v>vis</v>
      </c>
      <c r="E18" s="31">
        <f>VLOOKUP(C18,Active!C$21:E$973,3,FALSE)</f>
        <v>17010.025383426368</v>
      </c>
      <c r="F18" s="2" t="s">
        <v>79</v>
      </c>
      <c r="G18" s="5" t="str">
        <f t="shared" si="4"/>
        <v>55947.7200</v>
      </c>
      <c r="H18" s="4">
        <f t="shared" si="5"/>
        <v>17010</v>
      </c>
      <c r="I18" s="32" t="s">
        <v>130</v>
      </c>
      <c r="J18" s="33" t="s">
        <v>131</v>
      </c>
      <c r="K18" s="32">
        <v>17010</v>
      </c>
      <c r="L18" s="32" t="s">
        <v>132</v>
      </c>
      <c r="M18" s="33" t="s">
        <v>91</v>
      </c>
      <c r="N18" s="33" t="s">
        <v>79</v>
      </c>
      <c r="O18" s="34" t="s">
        <v>98</v>
      </c>
      <c r="P18" s="35" t="s">
        <v>133</v>
      </c>
    </row>
    <row r="19" spans="1:16" ht="12.75" customHeight="1" thickBot="1" x14ac:dyDescent="0.25">
      <c r="A19" s="4" t="str">
        <f t="shared" si="0"/>
        <v>IBVS 6063 </v>
      </c>
      <c r="B19" s="2" t="str">
        <f t="shared" si="1"/>
        <v>II</v>
      </c>
      <c r="C19" s="4">
        <f t="shared" si="2"/>
        <v>56312.696600000003</v>
      </c>
      <c r="D19" s="5" t="str">
        <f t="shared" si="3"/>
        <v>vis</v>
      </c>
      <c r="E19" s="31">
        <f>VLOOKUP(C19,Active!C$21:E$973,3,FALSE)</f>
        <v>17385.52622048683</v>
      </c>
      <c r="F19" s="2" t="s">
        <v>79</v>
      </c>
      <c r="G19" s="5" t="str">
        <f t="shared" si="4"/>
        <v>56312.6966</v>
      </c>
      <c r="H19" s="4">
        <f t="shared" si="5"/>
        <v>17385.5</v>
      </c>
      <c r="I19" s="32" t="s">
        <v>134</v>
      </c>
      <c r="J19" s="33" t="s">
        <v>135</v>
      </c>
      <c r="K19" s="32">
        <v>17385.5</v>
      </c>
      <c r="L19" s="32" t="s">
        <v>136</v>
      </c>
      <c r="M19" s="33" t="s">
        <v>91</v>
      </c>
      <c r="N19" s="33" t="s">
        <v>79</v>
      </c>
      <c r="O19" s="34" t="s">
        <v>98</v>
      </c>
      <c r="P19" s="35" t="s">
        <v>137</v>
      </c>
    </row>
    <row r="20" spans="1:16" ht="12.75" customHeight="1" thickBot="1" x14ac:dyDescent="0.25">
      <c r="A20" s="4" t="str">
        <f t="shared" si="0"/>
        <v> BBS 124 </v>
      </c>
      <c r="B20" s="2" t="str">
        <f t="shared" si="1"/>
        <v>II</v>
      </c>
      <c r="C20" s="4">
        <f t="shared" si="2"/>
        <v>51955.335800000001</v>
      </c>
      <c r="D20" s="5" t="str">
        <f t="shared" si="3"/>
        <v>vis</v>
      </c>
      <c r="E20" s="31">
        <f>VLOOKUP(C20,Active!C$21:E$973,3,FALSE)</f>
        <v>12902.519288605607</v>
      </c>
      <c r="F20" s="2" t="s">
        <v>79</v>
      </c>
      <c r="G20" s="5" t="str">
        <f t="shared" si="4"/>
        <v>51955.3358</v>
      </c>
      <c r="H20" s="4">
        <f t="shared" si="5"/>
        <v>12902.5</v>
      </c>
      <c r="I20" s="32" t="s">
        <v>95</v>
      </c>
      <c r="J20" s="33" t="s">
        <v>96</v>
      </c>
      <c r="K20" s="32">
        <v>12902.5</v>
      </c>
      <c r="L20" s="32" t="s">
        <v>97</v>
      </c>
      <c r="M20" s="33" t="s">
        <v>84</v>
      </c>
      <c r="N20" s="33" t="s">
        <v>85</v>
      </c>
      <c r="O20" s="34" t="s">
        <v>98</v>
      </c>
      <c r="P20" s="34" t="s">
        <v>99</v>
      </c>
    </row>
    <row r="21" spans="1:16" ht="12.75" customHeight="1" thickBot="1" x14ac:dyDescent="0.25">
      <c r="A21" s="4" t="str">
        <f t="shared" si="0"/>
        <v>OEJV 0107 </v>
      </c>
      <c r="B21" s="2" t="str">
        <f t="shared" si="1"/>
        <v>I</v>
      </c>
      <c r="C21" s="4">
        <f t="shared" si="2"/>
        <v>53744.254300000001</v>
      </c>
      <c r="D21" s="5" t="str">
        <f t="shared" si="3"/>
        <v>vis</v>
      </c>
      <c r="E21" s="31">
        <f>VLOOKUP(C21,Active!C$21:E$973,3,FALSE)</f>
        <v>14743.021924070303</v>
      </c>
      <c r="F21" s="2" t="s">
        <v>79</v>
      </c>
      <c r="G21" s="5" t="str">
        <f t="shared" si="4"/>
        <v>53744.2543</v>
      </c>
      <c r="H21" s="4">
        <f t="shared" si="5"/>
        <v>14743</v>
      </c>
      <c r="I21" s="32" t="s">
        <v>107</v>
      </c>
      <c r="J21" s="33" t="s">
        <v>108</v>
      </c>
      <c r="K21" s="32">
        <v>14743</v>
      </c>
      <c r="L21" s="32" t="s">
        <v>109</v>
      </c>
      <c r="M21" s="33" t="s">
        <v>91</v>
      </c>
      <c r="N21" s="33" t="s">
        <v>110</v>
      </c>
      <c r="O21" s="34" t="s">
        <v>111</v>
      </c>
      <c r="P21" s="35" t="s">
        <v>112</v>
      </c>
    </row>
    <row r="22" spans="1:16" ht="12.75" customHeight="1" thickBot="1" x14ac:dyDescent="0.25">
      <c r="A22" s="4" t="str">
        <f t="shared" si="0"/>
        <v>BAVM 225 </v>
      </c>
      <c r="B22" s="2" t="str">
        <f t="shared" si="1"/>
        <v>I</v>
      </c>
      <c r="C22" s="4">
        <f t="shared" si="2"/>
        <v>55887.4591</v>
      </c>
      <c r="D22" s="5" t="str">
        <f t="shared" si="3"/>
        <v>vis</v>
      </c>
      <c r="E22" s="31">
        <f>VLOOKUP(C22,Active!C$21:E$973,3,FALSE)</f>
        <v>16948.026837788053</v>
      </c>
      <c r="F22" s="2" t="s">
        <v>79</v>
      </c>
      <c r="G22" s="5" t="str">
        <f t="shared" si="4"/>
        <v>55887.4591</v>
      </c>
      <c r="H22" s="4">
        <f t="shared" si="5"/>
        <v>16948</v>
      </c>
      <c r="I22" s="32" t="s">
        <v>126</v>
      </c>
      <c r="J22" s="33" t="s">
        <v>127</v>
      </c>
      <c r="K22" s="32">
        <v>16948</v>
      </c>
      <c r="L22" s="32" t="s">
        <v>120</v>
      </c>
      <c r="M22" s="33" t="s">
        <v>91</v>
      </c>
      <c r="N22" s="33" t="s">
        <v>92</v>
      </c>
      <c r="O22" s="34" t="s">
        <v>128</v>
      </c>
      <c r="P22" s="35" t="s">
        <v>129</v>
      </c>
    </row>
    <row r="23" spans="1:16" x14ac:dyDescent="0.2">
      <c r="B23" s="2"/>
      <c r="E23" s="31"/>
      <c r="F23" s="2"/>
    </row>
    <row r="24" spans="1:16" x14ac:dyDescent="0.2">
      <c r="B24" s="2"/>
      <c r="E24" s="31"/>
      <c r="F24" s="2"/>
    </row>
    <row r="25" spans="1:16" x14ac:dyDescent="0.2">
      <c r="B25" s="2"/>
      <c r="E25" s="31"/>
      <c r="F25" s="2"/>
    </row>
    <row r="26" spans="1:16" x14ac:dyDescent="0.2">
      <c r="B26" s="2"/>
      <c r="E26" s="31"/>
      <c r="F26" s="2"/>
    </row>
    <row r="27" spans="1:16" x14ac:dyDescent="0.2">
      <c r="B27" s="2"/>
      <c r="E27" s="31"/>
      <c r="F27" s="2"/>
    </row>
    <row r="28" spans="1:16" x14ac:dyDescent="0.2">
      <c r="B28" s="2"/>
      <c r="E28" s="31"/>
      <c r="F28" s="2"/>
    </row>
    <row r="29" spans="1:16" x14ac:dyDescent="0.2">
      <c r="B29" s="2"/>
      <c r="E29" s="31"/>
      <c r="F29" s="2"/>
    </row>
    <row r="30" spans="1:16" x14ac:dyDescent="0.2">
      <c r="B30" s="2"/>
      <c r="E30" s="31"/>
      <c r="F30" s="2"/>
    </row>
    <row r="31" spans="1:16" x14ac:dyDescent="0.2">
      <c r="B31" s="2"/>
      <c r="E31" s="31"/>
      <c r="F31" s="2"/>
    </row>
    <row r="32" spans="1:16" x14ac:dyDescent="0.2">
      <c r="B32" s="2"/>
      <c r="E32" s="31"/>
      <c r="F32" s="2"/>
    </row>
    <row r="33" spans="2:6" x14ac:dyDescent="0.2">
      <c r="B33" s="2"/>
      <c r="E33" s="31"/>
      <c r="F33" s="2"/>
    </row>
    <row r="34" spans="2:6" x14ac:dyDescent="0.2">
      <c r="B34" s="2"/>
      <c r="E34" s="31"/>
      <c r="F34" s="2"/>
    </row>
    <row r="35" spans="2:6" x14ac:dyDescent="0.2">
      <c r="B35" s="2"/>
      <c r="E35" s="31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</sheetData>
  <phoneticPr fontId="7" type="noConversion"/>
  <hyperlinks>
    <hyperlink ref="P11" r:id="rId1" display="http://www.konkoly.hu/cgi-bin/IBVS?5287"/>
    <hyperlink ref="P12" r:id="rId2" display="http://var.astro.cz/oejv/issues/oejv0074.pdf"/>
    <hyperlink ref="P13" r:id="rId3" display="http://www.konkoly.hu/cgi-bin/IBVS?5583"/>
    <hyperlink ref="P14" r:id="rId4" display="http://var.astro.cz/oejv/issues/oejv0074.pdf"/>
    <hyperlink ref="P21" r:id="rId5" display="http://var.astro.cz/oejv/issues/oejv0107.pdf"/>
    <hyperlink ref="P15" r:id="rId6" display="http://www.bav-astro.de/sfs/BAVM_link.php?BAVMnr=201"/>
    <hyperlink ref="P16" r:id="rId7" display="http://www.konkoly.hu/cgi-bin/IBVS?5920"/>
    <hyperlink ref="P17" r:id="rId8" display="http://www.konkoly.hu/cgi-bin/IBVS?5960"/>
    <hyperlink ref="P22" r:id="rId9" display="http://www.bav-astro.de/sfs/BAVM_link.php?BAVMnr=225"/>
    <hyperlink ref="P18" r:id="rId10" display="http://www.konkoly.hu/cgi-bin/IBVS?6029"/>
    <hyperlink ref="P19" r:id="rId11" display="http://www.konkoly.hu/cgi-bin/IBVS?606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2024-03-07T04:23:36Z</dcterms:modified>
</cp:coreProperties>
</file>