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FDC5F3-0E23-4EF1-B6E9-71F54AFE21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1" i="1" l="1"/>
  <c r="D9" i="1"/>
  <c r="C9" i="1"/>
  <c r="Q40" i="1"/>
  <c r="Q39" i="1"/>
  <c r="Q38" i="1"/>
  <c r="Q37" i="1"/>
  <c r="Q35" i="1"/>
  <c r="Q29" i="1"/>
  <c r="Q28" i="1"/>
  <c r="Q21" i="1"/>
  <c r="G24" i="2"/>
  <c r="C24" i="2"/>
  <c r="G23" i="2"/>
  <c r="C23" i="2"/>
  <c r="G22" i="2"/>
  <c r="C22" i="2"/>
  <c r="G21" i="2"/>
  <c r="C21" i="2"/>
  <c r="G33" i="2"/>
  <c r="C33" i="2"/>
  <c r="G32" i="2"/>
  <c r="C32" i="2"/>
  <c r="G31" i="2"/>
  <c r="C31" i="2"/>
  <c r="G30" i="2"/>
  <c r="C30" i="2"/>
  <c r="G29" i="2"/>
  <c r="C29" i="2"/>
  <c r="G20" i="2"/>
  <c r="C20" i="2"/>
  <c r="G28" i="2"/>
  <c r="C28" i="2"/>
  <c r="G19" i="2"/>
  <c r="C19" i="2"/>
  <c r="G18" i="2"/>
  <c r="C18" i="2"/>
  <c r="G17" i="2"/>
  <c r="C17" i="2"/>
  <c r="G16" i="2"/>
  <c r="C16" i="2"/>
  <c r="G27" i="2"/>
  <c r="C27" i="2"/>
  <c r="G26" i="2"/>
  <c r="C26" i="2"/>
  <c r="G15" i="2"/>
  <c r="C15" i="2"/>
  <c r="G14" i="2"/>
  <c r="C14" i="2"/>
  <c r="G13" i="2"/>
  <c r="C13" i="2"/>
  <c r="G12" i="2"/>
  <c r="C12" i="2"/>
  <c r="G11" i="2"/>
  <c r="C11" i="2"/>
  <c r="G25" i="2"/>
  <c r="C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0" i="2"/>
  <c r="B20" i="2"/>
  <c r="D20" i="2"/>
  <c r="A20" i="2"/>
  <c r="H28" i="2"/>
  <c r="D28" i="2"/>
  <c r="B28" i="2"/>
  <c r="A28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27" i="2"/>
  <c r="B27" i="2"/>
  <c r="D27" i="2"/>
  <c r="A27" i="2"/>
  <c r="H26" i="2"/>
  <c r="D26" i="2"/>
  <c r="B26" i="2"/>
  <c r="A2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25" i="2"/>
  <c r="D25" i="2"/>
  <c r="B25" i="2"/>
  <c r="A25" i="2"/>
  <c r="Q45" i="1"/>
  <c r="Q43" i="1"/>
  <c r="F16" i="1"/>
  <c r="C17" i="1"/>
  <c r="Q44" i="1"/>
  <c r="Q42" i="1"/>
  <c r="Q22" i="1"/>
  <c r="Q23" i="1"/>
  <c r="Q24" i="1"/>
  <c r="Q25" i="1"/>
  <c r="Q26" i="1"/>
  <c r="Q27" i="1"/>
  <c r="Q31" i="1"/>
  <c r="Q32" i="1"/>
  <c r="Q33" i="1"/>
  <c r="Q34" i="1"/>
  <c r="Q36" i="1"/>
  <c r="C8" i="1"/>
  <c r="C7" i="1"/>
  <c r="E38" i="1"/>
  <c r="F38" i="1" s="1"/>
  <c r="G38" i="1" s="1"/>
  <c r="I38" i="1" s="1"/>
  <c r="Q30" i="1"/>
  <c r="E24" i="2"/>
  <c r="E19" i="2"/>
  <c r="E34" i="1"/>
  <c r="F34" i="1" s="1"/>
  <c r="G34" i="1" s="1"/>
  <c r="I34" i="1" s="1"/>
  <c r="E24" i="1"/>
  <c r="E12" i="2" s="1"/>
  <c r="F24" i="1"/>
  <c r="E29" i="1"/>
  <c r="E27" i="2" s="1"/>
  <c r="E45" i="1"/>
  <c r="F45" i="1"/>
  <c r="G45" i="1" s="1"/>
  <c r="K45" i="1" s="1"/>
  <c r="E31" i="1"/>
  <c r="F31" i="1" s="1"/>
  <c r="G31" i="1" s="1"/>
  <c r="I31" i="1" s="1"/>
  <c r="E40" i="1"/>
  <c r="F40" i="1"/>
  <c r="E42" i="1"/>
  <c r="F42" i="1"/>
  <c r="G42" i="1" s="1"/>
  <c r="K42" i="1" s="1"/>
  <c r="E26" i="1"/>
  <c r="F26" i="1" s="1"/>
  <c r="G26" i="1" s="1"/>
  <c r="I26" i="1" s="1"/>
  <c r="E37" i="1"/>
  <c r="F37" i="1" s="1"/>
  <c r="G37" i="1" s="1"/>
  <c r="I37" i="1" s="1"/>
  <c r="E33" i="1"/>
  <c r="F33" i="1" s="1"/>
  <c r="G33" i="1" s="1"/>
  <c r="I33" i="1" s="1"/>
  <c r="E23" i="1"/>
  <c r="E11" i="2" s="1"/>
  <c r="E28" i="1"/>
  <c r="F28" i="1"/>
  <c r="G28" i="1"/>
  <c r="I28" i="1" s="1"/>
  <c r="E44" i="1"/>
  <c r="E23" i="2" s="1"/>
  <c r="F44" i="1"/>
  <c r="G44" i="1" s="1"/>
  <c r="K44" i="1" s="1"/>
  <c r="E30" i="1"/>
  <c r="F30" i="1"/>
  <c r="G30" i="1"/>
  <c r="H30" i="1" s="1"/>
  <c r="E39" i="1"/>
  <c r="F39" i="1" s="1"/>
  <c r="G39" i="1" s="1"/>
  <c r="I39" i="1" s="1"/>
  <c r="E36" i="1"/>
  <c r="F36" i="1"/>
  <c r="G36" i="1" s="1"/>
  <c r="I36" i="1" s="1"/>
  <c r="E25" i="1"/>
  <c r="F25" i="1" s="1"/>
  <c r="G25" i="1" s="1"/>
  <c r="I25" i="1" s="1"/>
  <c r="E35" i="1"/>
  <c r="F35" i="1"/>
  <c r="G35" i="1" s="1"/>
  <c r="I35" i="1" s="1"/>
  <c r="E22" i="1"/>
  <c r="F22" i="1" s="1"/>
  <c r="E32" i="1"/>
  <c r="F32" i="1"/>
  <c r="G32" i="1" s="1"/>
  <c r="I32" i="1" s="1"/>
  <c r="G24" i="1"/>
  <c r="I24" i="1" s="1"/>
  <c r="E41" i="1"/>
  <c r="F41" i="1"/>
  <c r="G41" i="1" s="1"/>
  <c r="I41" i="1" s="1"/>
  <c r="E21" i="1"/>
  <c r="E25" i="2" s="1"/>
  <c r="F21" i="1"/>
  <c r="G21" i="1"/>
  <c r="I21" i="1" s="1"/>
  <c r="E43" i="1"/>
  <c r="E22" i="2" s="1"/>
  <c r="F43" i="1"/>
  <c r="G43" i="1" s="1"/>
  <c r="K43" i="1" s="1"/>
  <c r="E27" i="1"/>
  <c r="F27" i="1" s="1"/>
  <c r="G27" i="1" s="1"/>
  <c r="I27" i="1" s="1"/>
  <c r="G40" i="1"/>
  <c r="I40" i="1"/>
  <c r="E28" i="2"/>
  <c r="E17" i="2"/>
  <c r="E14" i="2"/>
  <c r="E21" i="2"/>
  <c r="E26" i="2"/>
  <c r="E31" i="2"/>
  <c r="E18" i="2"/>
  <c r="E33" i="2"/>
  <c r="E15" i="2"/>
  <c r="E20" i="2"/>
  <c r="E16" i="2"/>
  <c r="C12" i="1"/>
  <c r="C11" i="1"/>
  <c r="E29" i="2" l="1"/>
  <c r="F23" i="1"/>
  <c r="G23" i="1" s="1"/>
  <c r="I23" i="1" s="1"/>
  <c r="F29" i="1"/>
  <c r="G29" i="1" s="1"/>
  <c r="I29" i="1" s="1"/>
  <c r="E32" i="2"/>
  <c r="E13" i="2"/>
  <c r="E30" i="2"/>
  <c r="O38" i="1"/>
  <c r="O28" i="1"/>
  <c r="C15" i="1"/>
  <c r="F18" i="1" s="1"/>
  <c r="O35" i="1"/>
  <c r="O41" i="1"/>
  <c r="O21" i="1"/>
  <c r="O29" i="1"/>
  <c r="O39" i="1"/>
  <c r="O37" i="1"/>
  <c r="O34" i="1"/>
  <c r="O42" i="1"/>
  <c r="O36" i="1"/>
  <c r="O45" i="1"/>
  <c r="O33" i="1"/>
  <c r="O44" i="1"/>
  <c r="O40" i="1"/>
  <c r="O4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<sst xmlns="http://schemas.openxmlformats.org/spreadsheetml/2006/main" count="283" uniqueCount="169">
  <si>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</si>
  <si>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</si>
  <si>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</si>
  <si>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</si>
  <si>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</si>
  <si>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</si>
  <si>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</si>
  <si>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</si>
  <si>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</si>
  <si>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</si>
  <si>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</si>
  <si>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</si>
  <si>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</si>
  <si>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</si>
  <si>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</si>
  <si>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</si>
  <si>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</si>
  <si>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</si>
  <si>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</si>
  <si>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</si>
  <si>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</si>
  <si>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</si>
  <si>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</si>
  <si>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</si>
  <si>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</si>
  <si>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</si>
  <si>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</si>
  <si>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</si>
  <si>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</si>
  <si>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Bull.19</t>
  </si>
  <si>
    <t>B</t>
  </si>
  <si>
    <t>Locher K</t>
  </si>
  <si>
    <t>BBSAG Bull.47</t>
  </si>
  <si>
    <t>BBSAG Bull.51</t>
  </si>
  <si>
    <t>BBSAG Bull.52</t>
  </si>
  <si>
    <t>BBSAG Bull.59</t>
  </si>
  <si>
    <t>BBSAG Bull.64</t>
  </si>
  <si>
    <t>BBSAG Bull.74</t>
  </si>
  <si>
    <t>BBSAG Bull.75</t>
  </si>
  <si>
    <t>BBSAG Bull.81</t>
  </si>
  <si>
    <t>BBSAG Bull.82</t>
  </si>
  <si>
    <t>BBSAG Bull.90</t>
  </si>
  <si>
    <t>bad?</t>
  </si>
  <si>
    <t># of data points:</t>
  </si>
  <si>
    <t>EA/SD</t>
  </si>
  <si>
    <t>AS Tau / GSC 01854-00033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</si>
  <si>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</si>
  <si>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</si>
  <si>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</si>
  <si>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</si>
  <si>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</si>
  <si>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</si>
  <si>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</si>
  <si>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</si>
  <si>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</si>
  <si>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5929</t>
  </si>
  <si>
    <t>IBVS 5918</t>
  </si>
  <si>
    <t>I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</si>
  <si>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</si>
  <si>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</si>
  <si>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</si>
  <si>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</si>
  <si>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</si>
  <si>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</si>
  <si>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</si>
  <si>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</si>
  <si>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</si>
  <si>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</si>
  <si>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</si>
  <si>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</si>
  <si>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2427041.37 </t>
  </si>
  <si>
    <t> 29.11.1932 20:52 </t>
  </si>
  <si>
    <t> -1.12 </t>
  </si>
  <si>
    <t>P </t>
  </si>
  <si>
    <t> P.Shajn </t>
  </si>
  <si>
    <t> PZ 4.122 </t>
  </si>
  <si>
    <t>2444316.322 </t>
  </si>
  <si>
    <t> 17.03.1980 19:43 </t>
  </si>
  <si>
    <t> 0.006 </t>
  </si>
  <si>
    <t>V </t>
  </si>
  <si>
    <t> K.Locher </t>
  </si>
  <si>
    <t> BBS 47 </t>
  </si>
  <si>
    <t>2444563.646 </t>
  </si>
  <si>
    <t> 20.11.1980 03:30 </t>
  </si>
  <si>
    <t> 0.013 </t>
  </si>
  <si>
    <t> BBS 51 </t>
  </si>
  <si>
    <t>2444591.489 </t>
  </si>
  <si>
    <t> 17.12.1980 23:44 </t>
  </si>
  <si>
    <t> -0.010 </t>
  </si>
  <si>
    <t> BBS 52 </t>
  </si>
  <si>
    <t>2445044.326 </t>
  </si>
  <si>
    <t> 15.03.1982 19:49 </t>
  </si>
  <si>
    <t> -0.006 </t>
  </si>
  <si>
    <t> BBS 59 </t>
  </si>
  <si>
    <t>2445298.602 </t>
  </si>
  <si>
    <t> 25.11.1982 02:26 </t>
  </si>
  <si>
    <t> -0.013 </t>
  </si>
  <si>
    <t> BBS 64 </t>
  </si>
  <si>
    <t>2445671.355 </t>
  </si>
  <si>
    <t> 02.12.1983 20:31 </t>
  </si>
  <si>
    <t> 0.024 </t>
  </si>
  <si>
    <t> J.Borovicka </t>
  </si>
  <si>
    <t> BRNO 26 </t>
  </si>
  <si>
    <t>2445671.369 </t>
  </si>
  <si>
    <t> 02.12.1983 20:51 </t>
  </si>
  <si>
    <t> 0.038 </t>
  </si>
  <si>
    <t> V.Wagner </t>
  </si>
  <si>
    <t>2446033.597 </t>
  </si>
  <si>
    <t> 29.11.1984 02:19 </t>
  </si>
  <si>
    <t> 0.000 </t>
  </si>
  <si>
    <t> BBS 74 </t>
  </si>
  <si>
    <t>2446054.505 </t>
  </si>
  <si>
    <t> 20.12.1984 00:07 </t>
  </si>
  <si>
    <t> 0.008 </t>
  </si>
  <si>
    <t> BBS 75 </t>
  </si>
  <si>
    <t>2446702.422 </t>
  </si>
  <si>
    <t> 28.09.1986 22:07 </t>
  </si>
  <si>
    <t> 0.026 </t>
  </si>
  <si>
    <t> BBS 81 </t>
  </si>
  <si>
    <t>2446831.297 </t>
  </si>
  <si>
    <t> 04.02.1987 19:07 </t>
  </si>
  <si>
    <t> 0.018 </t>
  </si>
  <si>
    <t> BBS 82 </t>
  </si>
  <si>
    <t>2447524.526 </t>
  </si>
  <si>
    <t> 29.12.1988 00:37 </t>
  </si>
  <si>
    <t> 0.065 </t>
  </si>
  <si>
    <t> J.Manek </t>
  </si>
  <si>
    <t> BRNO 30 </t>
  </si>
  <si>
    <t>2447524.527 </t>
  </si>
  <si>
    <t> 29.12.1988 00:38 </t>
  </si>
  <si>
    <t> 0.066 </t>
  </si>
  <si>
    <t> BBS 90 </t>
  </si>
  <si>
    <t>2447524.531 </t>
  </si>
  <si>
    <t> 29.12.1988 00:44 </t>
  </si>
  <si>
    <t> 0.070 </t>
  </si>
  <si>
    <t>2447538.456 </t>
  </si>
  <si>
    <t> 11.01.1989 22:56 </t>
  </si>
  <si>
    <t> 0.061 </t>
  </si>
  <si>
    <t>2447538.465 </t>
  </si>
  <si>
    <t> 11.01.1989 23:09 </t>
  </si>
  <si>
    <t> A.Dedoch </t>
  </si>
  <si>
    <t>2447848.487 </t>
  </si>
  <si>
    <t> 17.11.1989 23:41 </t>
  </si>
  <si>
    <t> 0.076 </t>
  </si>
  <si>
    <t>2454115.3795 </t>
  </si>
  <si>
    <t> 14.01.2007 21:06 </t>
  </si>
  <si>
    <t> 0.4615 </t>
  </si>
  <si>
    <t>C </t>
  </si>
  <si>
    <t>-I</t>
  </si>
  <si>
    <t> F.Agerer </t>
  </si>
  <si>
    <t>BAVM 186 </t>
  </si>
  <si>
    <t>2454857.3675 </t>
  </si>
  <si>
    <t> 25.01.2009 20:49 </t>
  </si>
  <si>
    <t>2533</t>
  </si>
  <si>
    <t> 0.5007 </t>
  </si>
  <si>
    <t>BAVM 209 </t>
  </si>
  <si>
    <t>2454881.7521 </t>
  </si>
  <si>
    <t> 19.02.2009 06:03 </t>
  </si>
  <si>
    <t>2540</t>
  </si>
  <si>
    <t> 0.5020 </t>
  </si>
  <si>
    <t> R.Nelson </t>
  </si>
  <si>
    <t>IBVS 5929 </t>
  </si>
  <si>
    <t>2455947.7019 </t>
  </si>
  <si>
    <t> 21.01.2012 04:50 </t>
  </si>
  <si>
    <t>2846</t>
  </si>
  <si>
    <t> 0.5534 </t>
  </si>
  <si>
    <t> R.Diethelm </t>
  </si>
  <si>
    <t>IBVS 6029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</si>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</sst>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Tau - O-C Diagr.</a:t>
            </a:r>
          </a:p>
        </c:rich>
      </c:tx>
      <c:layout>
        <c:manualLayout>
          <c:xMode val="edge"/>
          <c:yMode val="edge"/>
          <c:x val="0.3576784924356365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4969505225716"/>
          <c:y val="0.14769252958613219"/>
          <c:w val="0.8089902435010012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15-4FD7-8C4C-727CA64711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0.61891999999716063</c:v>
                </c:pt>
                <c:pt idx="2">
                  <c:v>5.7039999956032261E-3</c:v>
                </c:pt>
                <c:pt idx="3">
                  <c:v>1.341600000159815E-2</c:v>
                </c:pt>
                <c:pt idx="4">
                  <c:v>-1.0207999999693129E-2</c:v>
                </c:pt>
                <c:pt idx="5">
                  <c:v>-5.8480000006966293E-3</c:v>
                </c:pt>
                <c:pt idx="6">
                  <c:v>-1.2792000001354609E-2</c:v>
                </c:pt>
                <c:pt idx="7">
                  <c:v>2.4111999999149702E-2</c:v>
                </c:pt>
                <c:pt idx="8">
                  <c:v>3.811199999472592E-2</c:v>
                </c:pt>
                <c:pt idx="10">
                  <c:v>0</c:v>
                </c:pt>
                <c:pt idx="11">
                  <c:v>8.0319999979110435E-3</c:v>
                </c:pt>
                <c:pt idx="12">
                  <c:v>2.602399999886984E-2</c:v>
                </c:pt>
                <c:pt idx="13">
                  <c:v>1.7887999994854908E-2</c:v>
                </c:pt>
                <c:pt idx="14">
                  <c:v>6.4615999996021856E-2</c:v>
                </c:pt>
                <c:pt idx="15">
                  <c:v>6.5615999999863561E-2</c:v>
                </c:pt>
                <c:pt idx="16">
                  <c:v>6.9616000000678468E-2</c:v>
                </c:pt>
                <c:pt idx="17">
                  <c:v>6.1303999995288905E-2</c:v>
                </c:pt>
                <c:pt idx="18">
                  <c:v>7.0303999993484467E-2</c:v>
                </c:pt>
                <c:pt idx="19">
                  <c:v>7.0303999993484467E-2</c:v>
                </c:pt>
                <c:pt idx="20">
                  <c:v>7.6112000002467539E-2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15-4FD7-8C4C-727CA64711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15-4FD7-8C4C-727CA64711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">
                  <c:v>0.461539999996603</c:v>
                </c:pt>
                <c:pt idx="22">
                  <c:v>0.50067599999601953</c:v>
                </c:pt>
                <c:pt idx="23">
                  <c:v>0.50197999999363674</c:v>
                </c:pt>
                <c:pt idx="24">
                  <c:v>0.55341199999384116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15-4FD7-8C4C-727CA64711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15-4FD7-8C4C-727CA64711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15-4FD7-8C4C-727CA64711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15-4FD7-8C4C-727CA64711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-1.1127824476832311</c:v>
                </c:pt>
                <c:pt idx="7">
                  <c:v>-3.5110919901107672E-2</c:v>
                </c:pt>
                <c:pt idx="8">
                  <c:v>-3.5110919901107672E-2</c:v>
                </c:pt>
                <c:pt idx="12">
                  <c:v>2.4530245327182232E-2</c:v>
                </c:pt>
                <c:pt idx="13">
                  <c:v>3.1985390980718467E-2</c:v>
                </c:pt>
                <c:pt idx="14">
                  <c:v>7.2081985171359317E-2</c:v>
                </c:pt>
                <c:pt idx="15">
                  <c:v>7.2081985171359317E-2</c:v>
                </c:pt>
                <c:pt idx="16">
                  <c:v>7.2081985171359317E-2</c:v>
                </c:pt>
                <c:pt idx="17">
                  <c:v>7.2887946863633493E-2</c:v>
                </c:pt>
                <c:pt idx="18">
                  <c:v>7.2887946863633493E-2</c:v>
                </c:pt>
                <c:pt idx="19">
                  <c:v>7.2887946863633493E-2</c:v>
                </c:pt>
                <c:pt idx="20">
                  <c:v>9.0820594516734174E-2</c:v>
                </c:pt>
                <c:pt idx="21">
                  <c:v>0.45330186561705016</c:v>
                </c:pt>
                <c:pt idx="22">
                  <c:v>0.4962193257306507</c:v>
                </c:pt>
                <c:pt idx="23">
                  <c:v>0.4976297586921305</c:v>
                </c:pt>
                <c:pt idx="24">
                  <c:v>0.55928582815110595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15-4FD7-8C4C-727CA647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85296"/>
        <c:axId val="1"/>
      </c:scatterChart>
      <c:valAx>
        <c:axId val="8927852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275747834891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073127095068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8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161245293776487E-2"/>
          <c:y val="0.92000129214617399"/>
          <c:w val="0.921350084048482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Tau - O-C Diagr.</a:t>
            </a:r>
          </a:p>
        </c:rich>
      </c:tx>
      <c:layout>
        <c:manualLayout>
          <c:xMode val="edge"/>
          <c:yMode val="edge"/>
          <c:x val="0.3588788971472023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6368617085843"/>
          <c:y val="0.14723926380368099"/>
          <c:w val="0.7981315695564120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6-48C6-AB38-FC01FF54C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0.61891999999716063</c:v>
                </c:pt>
                <c:pt idx="2">
                  <c:v>5.7039999956032261E-3</c:v>
                </c:pt>
                <c:pt idx="3">
                  <c:v>1.341600000159815E-2</c:v>
                </c:pt>
                <c:pt idx="4">
                  <c:v>-1.0207999999693129E-2</c:v>
                </c:pt>
                <c:pt idx="5">
                  <c:v>-5.8480000006966293E-3</c:v>
                </c:pt>
                <c:pt idx="6">
                  <c:v>-1.2792000001354609E-2</c:v>
                </c:pt>
                <c:pt idx="7">
                  <c:v>2.4111999999149702E-2</c:v>
                </c:pt>
                <c:pt idx="8">
                  <c:v>3.811199999472592E-2</c:v>
                </c:pt>
                <c:pt idx="10">
                  <c:v>0</c:v>
                </c:pt>
                <c:pt idx="11">
                  <c:v>8.0319999979110435E-3</c:v>
                </c:pt>
                <c:pt idx="12">
                  <c:v>2.602399999886984E-2</c:v>
                </c:pt>
                <c:pt idx="13">
                  <c:v>1.7887999994854908E-2</c:v>
                </c:pt>
                <c:pt idx="14">
                  <c:v>6.4615999996021856E-2</c:v>
                </c:pt>
                <c:pt idx="15">
                  <c:v>6.5615999999863561E-2</c:v>
                </c:pt>
                <c:pt idx="16">
                  <c:v>6.9616000000678468E-2</c:v>
                </c:pt>
                <c:pt idx="17">
                  <c:v>6.1303999995288905E-2</c:v>
                </c:pt>
                <c:pt idx="18">
                  <c:v>7.0303999993484467E-2</c:v>
                </c:pt>
                <c:pt idx="19">
                  <c:v>7.0303999993484467E-2</c:v>
                </c:pt>
                <c:pt idx="20">
                  <c:v>7.6112000002467539E-2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06-48C6-AB38-FC01FF54C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06-48C6-AB38-FC01FF54C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">
                  <c:v>0.461539999996603</c:v>
                </c:pt>
                <c:pt idx="22">
                  <c:v>0.50067599999601953</c:v>
                </c:pt>
                <c:pt idx="23">
                  <c:v>0.50197999999363674</c:v>
                </c:pt>
                <c:pt idx="24">
                  <c:v>0.55341199999384116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06-48C6-AB38-FC01FF54C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06-48C6-AB38-FC01FF54C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06-48C6-AB38-FC01FF54C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9">
                    <c:v>0</c:v>
                  </c:pt>
                  <c:pt idx="21">
                    <c:v>1.1000000000000001E-3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06-48C6-AB38-FC01FF54C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-1.1127824476832311</c:v>
                </c:pt>
                <c:pt idx="7">
                  <c:v>-3.5110919901107672E-2</c:v>
                </c:pt>
                <c:pt idx="8">
                  <c:v>-3.5110919901107672E-2</c:v>
                </c:pt>
                <c:pt idx="12">
                  <c:v>2.4530245327182232E-2</c:v>
                </c:pt>
                <c:pt idx="13">
                  <c:v>3.1985390980718467E-2</c:v>
                </c:pt>
                <c:pt idx="14">
                  <c:v>7.2081985171359317E-2</c:v>
                </c:pt>
                <c:pt idx="15">
                  <c:v>7.2081985171359317E-2</c:v>
                </c:pt>
                <c:pt idx="16">
                  <c:v>7.2081985171359317E-2</c:v>
                </c:pt>
                <c:pt idx="17">
                  <c:v>7.2887946863633493E-2</c:v>
                </c:pt>
                <c:pt idx="18">
                  <c:v>7.2887946863633493E-2</c:v>
                </c:pt>
                <c:pt idx="19">
                  <c:v>7.2887946863633493E-2</c:v>
                </c:pt>
                <c:pt idx="20">
                  <c:v>9.0820594516734174E-2</c:v>
                </c:pt>
                <c:pt idx="21">
                  <c:v>0.45330186561705016</c:v>
                </c:pt>
                <c:pt idx="22">
                  <c:v>0.4962193257306507</c:v>
                </c:pt>
                <c:pt idx="23">
                  <c:v>0.4976297586921305</c:v>
                </c:pt>
                <c:pt idx="24">
                  <c:v>0.55928582815110595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06-48C6-AB38-FC01FF54C3E0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dPt>
            <c:idx val="0"/>
            <c:marker>
              <c:symbol val="star"/>
              <c:size val="6"/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06-48C6-AB38-FC01FF54C3E0}"/>
              </c:ext>
            </c:extLst>
          </c:dPt>
          <c:dPt>
            <c:idx val="1"/>
            <c:marker>
              <c:symbol val="star"/>
              <c:size val="6"/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06-48C6-AB38-FC01FF54C3E0}"/>
              </c:ext>
            </c:extLst>
          </c:dPt>
          <c:xVal>
            <c:numRef>
              <c:f>Active!$F$21:$F$999</c:f>
              <c:numCache>
                <c:formatCode>General</c:formatCode>
                <c:ptCount val="979"/>
                <c:pt idx="0">
                  <c:v>-5452.5</c:v>
                </c:pt>
                <c:pt idx="1">
                  <c:v>-1042</c:v>
                </c:pt>
                <c:pt idx="2">
                  <c:v>-493</c:v>
                </c:pt>
                <c:pt idx="3">
                  <c:v>-422</c:v>
                </c:pt>
                <c:pt idx="4">
                  <c:v>-414</c:v>
                </c:pt>
                <c:pt idx="5">
                  <c:v>-284</c:v>
                </c:pt>
                <c:pt idx="6">
                  <c:v>-211</c:v>
                </c:pt>
                <c:pt idx="7">
                  <c:v>-104</c:v>
                </c:pt>
                <c:pt idx="8">
                  <c:v>-104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192</c:v>
                </c:pt>
                <c:pt idx="13">
                  <c:v>229</c:v>
                </c:pt>
                <c:pt idx="14">
                  <c:v>428</c:v>
                </c:pt>
                <c:pt idx="15">
                  <c:v>428</c:v>
                </c:pt>
                <c:pt idx="16">
                  <c:v>428</c:v>
                </c:pt>
                <c:pt idx="17">
                  <c:v>432</c:v>
                </c:pt>
                <c:pt idx="18">
                  <c:v>432</c:v>
                </c:pt>
                <c:pt idx="19">
                  <c:v>432</c:v>
                </c:pt>
                <c:pt idx="20">
                  <c:v>521</c:v>
                </c:pt>
                <c:pt idx="21">
                  <c:v>2320</c:v>
                </c:pt>
                <c:pt idx="22">
                  <c:v>2533</c:v>
                </c:pt>
                <c:pt idx="23">
                  <c:v>2540</c:v>
                </c:pt>
                <c:pt idx="24">
                  <c:v>2846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1">
                  <c:v>-0.72222399999736808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06-48C6-AB38-FC01FF54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3960"/>
        <c:axId val="1"/>
      </c:scatterChart>
      <c:valAx>
        <c:axId val="90323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265606986042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0560747663551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897196261682243E-2"/>
          <c:y val="0.92024539877300615"/>
          <c:w val="0.84972474798768516"/>
          <c:h val="5.8703035952281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9525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A5B885-4D0A-830C-B09D-195820B48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0</xdr:row>
      <xdr:rowOff>28575</xdr:rowOff>
    </xdr:from>
    <xdr:to>
      <xdr:col>27</xdr:col>
      <xdr:colOff>180975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ECF92DC-8D15-2C9E-8648-B8DE60867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29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9" customFormat="1" ht="20.25" x14ac:dyDescent="0.2">
      <c r="A1" s="57" t="s">
        <v>45</v>
      </c>
    </row>
    <row r="2" spans="1:6" s="29" customFormat="1" ht="12.95" customHeight="1" x14ac:dyDescent="0.2">
      <c r="A2" s="29" t="s">
        <v>24</v>
      </c>
      <c r="B2" s="30" t="s">
        <v>44</v>
      </c>
    </row>
    <row r="3" spans="1:6" s="29" customFormat="1" ht="12.95" customHeight="1" x14ac:dyDescent="0.2"/>
    <row r="4" spans="1:6" s="29" customFormat="1" ht="12.95" customHeight="1" thickTop="1" thickBot="1" x14ac:dyDescent="0.25">
      <c r="A4" s="31" t="s">
        <v>0</v>
      </c>
      <c r="C4" s="32">
        <v>46033.597000000002</v>
      </c>
      <c r="D4" s="33">
        <v>3.4833280000000002</v>
      </c>
    </row>
    <row r="5" spans="1:6" s="29" customFormat="1" ht="12.95" customHeight="1" thickTop="1" x14ac:dyDescent="0.2">
      <c r="A5" s="34" t="s">
        <v>46</v>
      </c>
      <c r="C5" s="35">
        <v>-9.5</v>
      </c>
      <c r="D5" s="29" t="s">
        <v>47</v>
      </c>
    </row>
    <row r="6" spans="1:6" s="29" customFormat="1" ht="12.95" customHeight="1" x14ac:dyDescent="0.2">
      <c r="A6" s="31" t="s">
        <v>1</v>
      </c>
    </row>
    <row r="7" spans="1:6" s="29" customFormat="1" ht="12.95" customHeight="1" x14ac:dyDescent="0.2">
      <c r="A7" s="29" t="s">
        <v>2</v>
      </c>
      <c r="C7" s="29">
        <f>+C4</f>
        <v>46033.597000000002</v>
      </c>
    </row>
    <row r="8" spans="1:6" s="29" customFormat="1" ht="12.95" customHeight="1" x14ac:dyDescent="0.2">
      <c r="A8" s="29" t="s">
        <v>3</v>
      </c>
      <c r="C8" s="29">
        <f>+D4</f>
        <v>3.4833280000000002</v>
      </c>
    </row>
    <row r="9" spans="1:6" s="29" customFormat="1" ht="12.95" customHeight="1" x14ac:dyDescent="0.2">
      <c r="A9" s="36" t="s">
        <v>52</v>
      </c>
      <c r="B9" s="37">
        <v>30</v>
      </c>
      <c r="C9" s="38" t="str">
        <f>"F"&amp;B9</f>
        <v>F30</v>
      </c>
      <c r="D9" s="39" t="str">
        <f>"G"&amp;B9</f>
        <v>G30</v>
      </c>
    </row>
    <row r="10" spans="1:6" s="29" customFormat="1" ht="12.95" customHeight="1" thickBot="1" x14ac:dyDescent="0.25">
      <c r="C10" s="40" t="s">
        <v>20</v>
      </c>
      <c r="D10" s="40" t="s">
        <v>21</v>
      </c>
    </row>
    <row r="11" spans="1:6" s="29" customFormat="1" ht="12.95" customHeight="1" x14ac:dyDescent="0.2">
      <c r="A11" s="29" t="s">
        <v>16</v>
      </c>
      <c r="C11" s="39">
        <f ca="1">INTERCEPT(INDIRECT($D$9):G992,INDIRECT($C$9):F992)</f>
        <v>-1.4155915901978788E-2</v>
      </c>
      <c r="D11" s="41"/>
    </row>
    <row r="12" spans="1:6" s="29" customFormat="1" ht="12.95" customHeight="1" x14ac:dyDescent="0.2">
      <c r="A12" s="29" t="s">
        <v>17</v>
      </c>
      <c r="C12" s="39">
        <f ca="1">SLOPE(INDIRECT($D$9):G992,INDIRECT($C$9):F992)</f>
        <v>2.0149042306854696E-4</v>
      </c>
      <c r="D12" s="41"/>
    </row>
    <row r="13" spans="1:6" s="29" customFormat="1" ht="12.95" customHeight="1" x14ac:dyDescent="0.2">
      <c r="A13" s="29" t="s">
        <v>19</v>
      </c>
      <c r="C13" s="41" t="s">
        <v>14</v>
      </c>
    </row>
    <row r="14" spans="1:6" s="29" customFormat="1" ht="12.95" customHeight="1" x14ac:dyDescent="0.2"/>
    <row r="15" spans="1:6" s="29" customFormat="1" ht="12.95" customHeight="1" x14ac:dyDescent="0.2">
      <c r="A15" s="42" t="s">
        <v>18</v>
      </c>
      <c r="C15" s="43">
        <f ca="1">(C7+C11)+(C8+C12)*INT(MAX(F21:F3533))</f>
        <v>55947.707773828151</v>
      </c>
      <c r="E15" s="44" t="s">
        <v>53</v>
      </c>
      <c r="F15" s="35">
        <v>1</v>
      </c>
    </row>
    <row r="16" spans="1:6" s="29" customFormat="1" ht="12.95" customHeight="1" x14ac:dyDescent="0.2">
      <c r="A16" s="31" t="s">
        <v>4</v>
      </c>
      <c r="C16" s="45">
        <f ca="1">+C8+C12</f>
        <v>3.4835294904230687</v>
      </c>
      <c r="E16" s="44" t="s">
        <v>48</v>
      </c>
      <c r="F16" s="46">
        <f ca="1">NOW()+15018.5+$C$5/24</f>
        <v>60376.72900821759</v>
      </c>
    </row>
    <row r="17" spans="1:30" s="29" customFormat="1" ht="12.95" customHeight="1" thickBot="1" x14ac:dyDescent="0.25">
      <c r="A17" s="44" t="s">
        <v>43</v>
      </c>
      <c r="C17" s="29">
        <f>COUNT(C21:C2191)</f>
        <v>25</v>
      </c>
      <c r="E17" s="44" t="s">
        <v>54</v>
      </c>
      <c r="F17" s="46">
        <f ca="1">ROUND(2*(F16-$C$7)/$C$8,0)/2+F15</f>
        <v>4118.5</v>
      </c>
    </row>
    <row r="18" spans="1:30" s="29" customFormat="1" ht="12.95" customHeight="1" thickTop="1" thickBot="1" x14ac:dyDescent="0.25">
      <c r="A18" s="31" t="s">
        <v>5</v>
      </c>
      <c r="C18" s="32">
        <f ca="1">+C15</f>
        <v>55947.707773828151</v>
      </c>
      <c r="D18" s="33">
        <f ca="1">+C16</f>
        <v>3.4835294904230687</v>
      </c>
      <c r="E18" s="44" t="s">
        <v>49</v>
      </c>
      <c r="F18" s="39">
        <f ca="1">ROUND(2*(F16-$C$15)/$C$16,0)/2+F15</f>
        <v>1272.5</v>
      </c>
    </row>
    <row r="19" spans="1:30" s="29" customFormat="1" ht="12.95" customHeight="1" thickTop="1" x14ac:dyDescent="0.2">
      <c r="E19" s="44" t="s">
        <v>50</v>
      </c>
      <c r="F19" s="47">
        <f ca="1">+$C$15+$C$16*F18-15018.5-$C$5/24</f>
        <v>45362.394883724839</v>
      </c>
    </row>
    <row r="20" spans="1:30" s="29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12</v>
      </c>
      <c r="I20" s="48" t="s">
        <v>69</v>
      </c>
      <c r="J20" s="48" t="s">
        <v>63</v>
      </c>
      <c r="K20" s="48" t="s">
        <v>61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40" t="s">
        <v>15</v>
      </c>
      <c r="S20" s="58" t="s">
        <v>168</v>
      </c>
    </row>
    <row r="21" spans="1:30" s="29" customFormat="1" ht="12.95" customHeight="1" x14ac:dyDescent="0.2">
      <c r="A21" s="53" t="s">
        <v>75</v>
      </c>
      <c r="B21" s="54" t="s">
        <v>57</v>
      </c>
      <c r="C21" s="55">
        <v>27041.37</v>
      </c>
      <c r="D21" s="56"/>
      <c r="E21" s="29">
        <f>+(C21-C$7)/C$8</f>
        <v>-5452.3223193451786</v>
      </c>
      <c r="F21" s="29">
        <f>ROUND(2*E21,0)/2</f>
        <v>-5452.5</v>
      </c>
      <c r="G21" s="29">
        <f>+C21-(C$7+F21*C$8)</f>
        <v>0.61891999999716063</v>
      </c>
      <c r="I21" s="29">
        <f>+G21</f>
        <v>0.61891999999716063</v>
      </c>
      <c r="O21" s="29">
        <f ca="1">+C$11+C$12*$F21</f>
        <v>-1.1127824476832311</v>
      </c>
      <c r="Q21" s="52">
        <f>+C21-15018.5</f>
        <v>12022.869999999999</v>
      </c>
    </row>
    <row r="22" spans="1:30" s="29" customFormat="1" ht="12.95" customHeight="1" x14ac:dyDescent="0.2">
      <c r="A22" s="29" t="s">
        <v>29</v>
      </c>
      <c r="C22" s="50">
        <v>42403.247000000003</v>
      </c>
      <c r="D22" s="51" t="s">
        <v>42</v>
      </c>
      <c r="E22" s="29">
        <f>+(C22-C$7)/C$8</f>
        <v>-1042.2073373509468</v>
      </c>
      <c r="F22" s="29">
        <f>ROUND(2*E22,0)/2</f>
        <v>-1042</v>
      </c>
      <c r="Q22" s="52">
        <f>+C22-15018.5</f>
        <v>27384.747000000003</v>
      </c>
      <c r="S22" s="39">
        <v>-0.72222399999736808</v>
      </c>
      <c r="AA22" s="29">
        <v>8</v>
      </c>
      <c r="AB22" s="29" t="s">
        <v>28</v>
      </c>
      <c r="AD22" s="29" t="s">
        <v>30</v>
      </c>
    </row>
    <row r="23" spans="1:30" x14ac:dyDescent="0.2">
      <c r="A23" t="s">
        <v>32</v>
      </c>
      <c r="C23" s="6">
        <v>44316.322</v>
      </c>
      <c r="D23" s="6"/>
      <c r="E23">
        <f>+(C23-C$7)/C$8</f>
        <v>-492.99836248553146</v>
      </c>
      <c r="F23">
        <f>ROUND(2*E23,0)/2</f>
        <v>-493</v>
      </c>
      <c r="G23">
        <f>+C23-(C$7+F23*C$8)</f>
        <v>5.7039999956032261E-3</v>
      </c>
      <c r="I23">
        <f>+G23</f>
        <v>5.7039999956032261E-3</v>
      </c>
      <c r="Q23" s="1">
        <f>+C23-15018.5</f>
        <v>29297.822</v>
      </c>
      <c r="AA23">
        <v>11</v>
      </c>
      <c r="AB23" t="s">
        <v>31</v>
      </c>
      <c r="AD23" t="s">
        <v>30</v>
      </c>
    </row>
    <row r="24" spans="1:30" x14ac:dyDescent="0.2">
      <c r="A24" t="s">
        <v>33</v>
      </c>
      <c r="C24" s="6">
        <v>44563.646000000001</v>
      </c>
      <c r="D24" s="6"/>
      <c r="E24">
        <f>+(C24-C$7)/C$8</f>
        <v>-421.99614851084965</v>
      </c>
      <c r="F24">
        <f>ROUND(2*E24,0)/2</f>
        <v>-422</v>
      </c>
      <c r="G24">
        <f>+C24-(C$7+F24*C$8)</f>
        <v>1.341600000159815E-2</v>
      </c>
      <c r="I24">
        <f>+G24</f>
        <v>1.341600000159815E-2</v>
      </c>
      <c r="Q24" s="1">
        <f>+C24-15018.5</f>
        <v>29545.146000000001</v>
      </c>
      <c r="AA24">
        <v>7</v>
      </c>
      <c r="AB24" t="s">
        <v>31</v>
      </c>
      <c r="AD24" t="s">
        <v>30</v>
      </c>
    </row>
    <row r="25" spans="1:30" x14ac:dyDescent="0.2">
      <c r="A25" t="s">
        <v>34</v>
      </c>
      <c r="C25" s="6">
        <v>44591.489000000001</v>
      </c>
      <c r="D25" s="6"/>
      <c r="E25">
        <f>+(C25-C$7)/C$8</f>
        <v>-414.00293053080276</v>
      </c>
      <c r="F25">
        <f>ROUND(2*E25,0)/2</f>
        <v>-414</v>
      </c>
      <c r="G25">
        <f>+C25-(C$7+F25*C$8)</f>
        <v>-1.0207999999693129E-2</v>
      </c>
      <c r="I25">
        <f>+G25</f>
        <v>-1.0207999999693129E-2</v>
      </c>
      <c r="Q25" s="1">
        <f>+C25-15018.5</f>
        <v>29572.989000000001</v>
      </c>
      <c r="AA25">
        <v>6</v>
      </c>
      <c r="AB25" t="s">
        <v>31</v>
      </c>
      <c r="AD25" t="s">
        <v>30</v>
      </c>
    </row>
    <row r="26" spans="1:30" x14ac:dyDescent="0.2">
      <c r="A26" t="s">
        <v>35</v>
      </c>
      <c r="C26" s="6">
        <v>45044.326000000001</v>
      </c>
      <c r="D26" s="6"/>
      <c r="E26">
        <f>+(C26-C$7)/C$8</f>
        <v>-284.00167885424531</v>
      </c>
      <c r="F26">
        <f>ROUND(2*E26,0)/2</f>
        <v>-284</v>
      </c>
      <c r="G26">
        <f>+C26-(C$7+F26*C$8)</f>
        <v>-5.8480000006966293E-3</v>
      </c>
      <c r="I26">
        <f>+G26</f>
        <v>-5.8480000006966293E-3</v>
      </c>
      <c r="Q26" s="1">
        <f>+C26-15018.5</f>
        <v>30025.826000000001</v>
      </c>
      <c r="AA26">
        <v>6</v>
      </c>
      <c r="AB26" t="s">
        <v>31</v>
      </c>
      <c r="AD26" t="s">
        <v>30</v>
      </c>
    </row>
    <row r="27" spans="1:30" x14ac:dyDescent="0.2">
      <c r="A27" t="s">
        <v>36</v>
      </c>
      <c r="C27" s="6">
        <v>45298.601999999999</v>
      </c>
      <c r="D27" s="6"/>
      <c r="E27">
        <f>+(C27-C$7)/C$8</f>
        <v>-211.00367235012109</v>
      </c>
      <c r="F27">
        <f>ROUND(2*E27,0)/2</f>
        <v>-211</v>
      </c>
      <c r="G27">
        <f>+C27-(C$7+F27*C$8)</f>
        <v>-1.2792000001354609E-2</v>
      </c>
      <c r="I27">
        <f>+G27</f>
        <v>-1.2792000001354609E-2</v>
      </c>
      <c r="Q27" s="1">
        <f>+C27-15018.5</f>
        <v>30280.101999999999</v>
      </c>
      <c r="AA27">
        <v>6</v>
      </c>
      <c r="AB27" t="s">
        <v>31</v>
      </c>
      <c r="AD27" t="s">
        <v>30</v>
      </c>
    </row>
    <row r="28" spans="1:30" x14ac:dyDescent="0.2">
      <c r="A28" s="26" t="s">
        <v>102</v>
      </c>
      <c r="B28" s="28" t="s">
        <v>57</v>
      </c>
      <c r="C28" s="27">
        <v>45671.355000000003</v>
      </c>
      <c r="D28" s="3"/>
      <c r="E28">
        <f>+(C28-C$7)/C$8</f>
        <v>-103.99307788413792</v>
      </c>
      <c r="F28">
        <f>ROUND(2*E28,0)/2</f>
        <v>-104</v>
      </c>
      <c r="G28">
        <f>+C28-(C$7+F28*C$8)</f>
        <v>2.4111999999149702E-2</v>
      </c>
      <c r="I28">
        <f>+G28</f>
        <v>2.4111999999149702E-2</v>
      </c>
      <c r="O28">
        <f ca="1">+C$11+C$12*$F28</f>
        <v>-3.5110919901107672E-2</v>
      </c>
      <c r="Q28" s="1">
        <f>+C28-15018.5</f>
        <v>30652.855000000003</v>
      </c>
    </row>
    <row r="29" spans="1:30" x14ac:dyDescent="0.2">
      <c r="A29" s="26" t="s">
        <v>102</v>
      </c>
      <c r="B29" s="28" t="s">
        <v>57</v>
      </c>
      <c r="C29" s="27">
        <v>45671.368999999999</v>
      </c>
      <c r="D29" s="3"/>
      <c r="E29">
        <f>+(C29-C$7)/C$8</f>
        <v>-103.98905873922949</v>
      </c>
      <c r="F29">
        <f>ROUND(2*E29,0)/2</f>
        <v>-104</v>
      </c>
      <c r="G29">
        <f>+C29-(C$7+F29*C$8)</f>
        <v>3.811199999472592E-2</v>
      </c>
      <c r="I29">
        <f>+G29</f>
        <v>3.811199999472592E-2</v>
      </c>
      <c r="O29">
        <f ca="1">+C$11+C$12*$F29</f>
        <v>-3.5110919901107672E-2</v>
      </c>
      <c r="Q29" s="1">
        <f>+C29-15018.5</f>
        <v>30652.868999999999</v>
      </c>
    </row>
    <row r="30" spans="1:30" x14ac:dyDescent="0.2">
      <c r="A30" t="s">
        <v>12</v>
      </c>
      <c r="C30" s="6">
        <v>46033.597000000002</v>
      </c>
      <c r="D30" s="6" t="s">
        <v>14</v>
      </c>
      <c r="E30">
        <f>+(C30-C$7)/C$8</f>
        <v>0</v>
      </c>
      <c r="F30">
        <f>ROUND(2*E30,0)/2</f>
        <v>0</v>
      </c>
      <c r="G30">
        <f>+C30-(C$7+F30*C$8)</f>
        <v>0</v>
      </c>
      <c r="H30">
        <f>+G30</f>
        <v>0</v>
      </c>
      <c r="Q30" s="1">
        <f>+C30-15018.5</f>
        <v>31015.097000000002</v>
      </c>
    </row>
    <row r="31" spans="1:30" x14ac:dyDescent="0.2">
      <c r="A31" t="s">
        <v>37</v>
      </c>
      <c r="C31" s="6">
        <v>46033.597000000002</v>
      </c>
      <c r="D31" s="6"/>
      <c r="E31">
        <f>+(C31-C$7)/C$8</f>
        <v>0</v>
      </c>
      <c r="F31">
        <f>ROUND(2*E31,0)/2</f>
        <v>0</v>
      </c>
      <c r="G31">
        <f>+C31-(C$7+F31*C$8)</f>
        <v>0</v>
      </c>
      <c r="I31">
        <f>+G31</f>
        <v>0</v>
      </c>
      <c r="Q31" s="1">
        <f>+C31-15018.5</f>
        <v>31015.097000000002</v>
      </c>
      <c r="AA31">
        <v>6</v>
      </c>
      <c r="AB31" t="s">
        <v>31</v>
      </c>
      <c r="AD31" t="s">
        <v>30</v>
      </c>
    </row>
    <row r="32" spans="1:30" x14ac:dyDescent="0.2">
      <c r="A32" t="s">
        <v>38</v>
      </c>
      <c r="C32" s="6">
        <v>46054.504999999997</v>
      </c>
      <c r="D32" s="6"/>
      <c r="E32">
        <f>+(C32-C$7)/C$8</f>
        <v>6.0023058408498446</v>
      </c>
      <c r="F32">
        <f>ROUND(2*E32,0)/2</f>
        <v>6</v>
      </c>
      <c r="G32">
        <f>+C32-(C$7+F32*C$8)</f>
        <v>8.0319999979110435E-3</v>
      </c>
      <c r="I32">
        <f>+G32</f>
        <v>8.0319999979110435E-3</v>
      </c>
      <c r="Q32" s="1">
        <f>+C32-15018.5</f>
        <v>31036.004999999997</v>
      </c>
      <c r="AA32">
        <v>6</v>
      </c>
      <c r="AB32" t="s">
        <v>31</v>
      </c>
      <c r="AD32" t="s">
        <v>30</v>
      </c>
    </row>
    <row r="33" spans="1:30" x14ac:dyDescent="0.2">
      <c r="A33" t="s">
        <v>39</v>
      </c>
      <c r="C33" s="6">
        <v>46702.421999999999</v>
      </c>
      <c r="D33" s="6"/>
      <c r="E33">
        <f>+(C33-C$7)/C$8</f>
        <v>192.00747101622272</v>
      </c>
      <c r="F33">
        <f>ROUND(2*E33,0)/2</f>
        <v>192</v>
      </c>
      <c r="G33">
        <f>+C33-(C$7+F33*C$8)</f>
        <v>2.602399999886984E-2</v>
      </c>
      <c r="I33">
        <f>+G33</f>
        <v>2.602399999886984E-2</v>
      </c>
      <c r="O33">
        <f ca="1">+C$11+C$12*$F33</f>
        <v>2.4530245327182232E-2</v>
      </c>
      <c r="Q33" s="1">
        <f>+C33-15018.5</f>
        <v>31683.921999999999</v>
      </c>
      <c r="AA33">
        <v>6</v>
      </c>
      <c r="AB33" t="s">
        <v>31</v>
      </c>
      <c r="AD33" t="s">
        <v>30</v>
      </c>
    </row>
    <row r="34" spans="1:30" x14ac:dyDescent="0.2">
      <c r="A34" t="s">
        <v>40</v>
      </c>
      <c r="C34" s="6">
        <v>46831.296999999999</v>
      </c>
      <c r="D34" s="6"/>
      <c r="E34">
        <f>+(C34-C$7)/C$8</f>
        <v>229.00513531886662</v>
      </c>
      <c r="F34">
        <f>ROUND(2*E34,0)/2</f>
        <v>229</v>
      </c>
      <c r="G34">
        <f>+C34-(C$7+F34*C$8)</f>
        <v>1.7887999994854908E-2</v>
      </c>
      <c r="I34">
        <f>+G34</f>
        <v>1.7887999994854908E-2</v>
      </c>
      <c r="O34">
        <f ca="1">+C$11+C$12*$F34</f>
        <v>3.1985390980718467E-2</v>
      </c>
      <c r="Q34" s="1">
        <f>+C34-15018.5</f>
        <v>31812.796999999999</v>
      </c>
      <c r="AA34">
        <v>7</v>
      </c>
      <c r="AB34" t="s">
        <v>31</v>
      </c>
      <c r="AD34" t="s">
        <v>30</v>
      </c>
    </row>
    <row r="35" spans="1:30" x14ac:dyDescent="0.2">
      <c r="A35" s="26" t="s">
        <v>127</v>
      </c>
      <c r="B35" s="28" t="s">
        <v>57</v>
      </c>
      <c r="C35" s="27">
        <v>47524.525999999998</v>
      </c>
      <c r="D35" s="3"/>
      <c r="E35">
        <f>+(C35-C$7)/C$8</f>
        <v>428.01855007624789</v>
      </c>
      <c r="F35">
        <f>ROUND(2*E35,0)/2</f>
        <v>428</v>
      </c>
      <c r="G35">
        <f>+C35-(C$7+F35*C$8)</f>
        <v>6.4615999996021856E-2</v>
      </c>
      <c r="I35">
        <f>+G35</f>
        <v>6.4615999996021856E-2</v>
      </c>
      <c r="O35">
        <f ca="1">+C$11+C$12*$F35</f>
        <v>7.2081985171359317E-2</v>
      </c>
      <c r="Q35" s="1">
        <f>+C35-15018.5</f>
        <v>32506.025999999998</v>
      </c>
    </row>
    <row r="36" spans="1:30" x14ac:dyDescent="0.2">
      <c r="A36" t="s">
        <v>41</v>
      </c>
      <c r="C36" s="6">
        <v>47524.527000000002</v>
      </c>
      <c r="D36" s="6"/>
      <c r="E36">
        <f>+(C36-C$7)/C$8</f>
        <v>428.01883715802825</v>
      </c>
      <c r="F36">
        <f>ROUND(2*E36,0)/2</f>
        <v>428</v>
      </c>
      <c r="G36">
        <f>+C36-(C$7+F36*C$8)</f>
        <v>6.5615999999863561E-2</v>
      </c>
      <c r="I36">
        <f>+G36</f>
        <v>6.5615999999863561E-2</v>
      </c>
      <c r="O36">
        <f ca="1">+C$11+C$12*$F36</f>
        <v>7.2081985171359317E-2</v>
      </c>
      <c r="Q36" s="1">
        <f>+C36-15018.5</f>
        <v>32506.027000000002</v>
      </c>
      <c r="AA36">
        <v>6</v>
      </c>
      <c r="AB36" t="s">
        <v>31</v>
      </c>
      <c r="AD36" t="s">
        <v>30</v>
      </c>
    </row>
    <row r="37" spans="1:30" x14ac:dyDescent="0.2">
      <c r="A37" s="26" t="s">
        <v>127</v>
      </c>
      <c r="B37" s="28" t="s">
        <v>57</v>
      </c>
      <c r="C37" s="27">
        <v>47524.531000000003</v>
      </c>
      <c r="D37" s="3"/>
      <c r="E37">
        <f>+(C37-C$7)/C$8</f>
        <v>428.01998548514553</v>
      </c>
      <c r="F37">
        <f>ROUND(2*E37,0)/2</f>
        <v>428</v>
      </c>
      <c r="G37">
        <f>+C37-(C$7+F37*C$8)</f>
        <v>6.9616000000678468E-2</v>
      </c>
      <c r="I37">
        <f>+G37</f>
        <v>6.9616000000678468E-2</v>
      </c>
      <c r="O37">
        <f ca="1">+C$11+C$12*$F37</f>
        <v>7.2081985171359317E-2</v>
      </c>
      <c r="Q37" s="1">
        <f>+C37-15018.5</f>
        <v>32506.031000000003</v>
      </c>
    </row>
    <row r="38" spans="1:30" x14ac:dyDescent="0.2">
      <c r="A38" s="26" t="s">
        <v>127</v>
      </c>
      <c r="B38" s="28" t="s">
        <v>57</v>
      </c>
      <c r="C38" s="27">
        <v>47538.455999999998</v>
      </c>
      <c r="D38" s="3"/>
      <c r="E38">
        <f>+(C38-C$7)/C$8</f>
        <v>432.01759926139505</v>
      </c>
      <c r="F38">
        <f>ROUND(2*E38,0)/2</f>
        <v>432</v>
      </c>
      <c r="G38">
        <f>+C38-(C$7+F38*C$8)</f>
        <v>6.1303999995288905E-2</v>
      </c>
      <c r="I38">
        <f>+G38</f>
        <v>6.1303999995288905E-2</v>
      </c>
      <c r="O38">
        <f ca="1">+C$11+C$12*$F38</f>
        <v>7.2887946863633493E-2</v>
      </c>
      <c r="Q38" s="1">
        <f>+C38-15018.5</f>
        <v>32519.955999999998</v>
      </c>
    </row>
    <row r="39" spans="1:30" x14ac:dyDescent="0.2">
      <c r="A39" s="26" t="s">
        <v>127</v>
      </c>
      <c r="B39" s="28" t="s">
        <v>57</v>
      </c>
      <c r="C39" s="27">
        <v>47538.464999999997</v>
      </c>
      <c r="D39" s="3"/>
      <c r="E39">
        <f>+(C39-C$7)/C$8</f>
        <v>432.02018299740791</v>
      </c>
      <c r="F39">
        <f>ROUND(2*E39,0)/2</f>
        <v>432</v>
      </c>
      <c r="G39">
        <f>+C39-(C$7+F39*C$8)</f>
        <v>7.0303999993484467E-2</v>
      </c>
      <c r="I39">
        <f>+G39</f>
        <v>7.0303999993484467E-2</v>
      </c>
      <c r="O39">
        <f ca="1">+C$11+C$12*$F39</f>
        <v>7.2887946863633493E-2</v>
      </c>
      <c r="Q39" s="1">
        <f>+C39-15018.5</f>
        <v>32519.964999999997</v>
      </c>
    </row>
    <row r="40" spans="1:30" x14ac:dyDescent="0.2">
      <c r="A40" s="26" t="s">
        <v>127</v>
      </c>
      <c r="B40" s="28" t="s">
        <v>57</v>
      </c>
      <c r="C40" s="27">
        <v>47538.464999999997</v>
      </c>
      <c r="D40" s="3"/>
      <c r="E40">
        <f>+(C40-C$7)/C$8</f>
        <v>432.02018299740791</v>
      </c>
      <c r="F40">
        <f>ROUND(2*E40,0)/2</f>
        <v>432</v>
      </c>
      <c r="G40">
        <f>+C40-(C$7+F40*C$8)</f>
        <v>7.0303999993484467E-2</v>
      </c>
      <c r="I40">
        <f>+G40</f>
        <v>7.0303999993484467E-2</v>
      </c>
      <c r="O40">
        <f ca="1">+C$11+C$12*$F40</f>
        <v>7.2887946863633493E-2</v>
      </c>
      <c r="Q40" s="1">
        <f>+C40-15018.5</f>
        <v>32519.964999999997</v>
      </c>
    </row>
    <row r="41" spans="1:30" x14ac:dyDescent="0.2">
      <c r="A41" s="26" t="s">
        <v>127</v>
      </c>
      <c r="B41" s="28" t="s">
        <v>57</v>
      </c>
      <c r="C41" s="27">
        <v>47848.487000000001</v>
      </c>
      <c r="D41" s="3"/>
      <c r="E41">
        <f>+(C41-C$7)/C$8</f>
        <v>521.02185036838318</v>
      </c>
      <c r="F41">
        <f>ROUND(2*E41,0)/2</f>
        <v>521</v>
      </c>
      <c r="G41">
        <f>+C41-(C$7+F41*C$8)</f>
        <v>7.6112000002467539E-2</v>
      </c>
      <c r="I41">
        <f>+G41</f>
        <v>7.6112000002467539E-2</v>
      </c>
      <c r="O41">
        <f ca="1">+C$11+C$12*$F41</f>
        <v>9.0820594516734174E-2</v>
      </c>
      <c r="Q41" s="1">
        <f>+C41-15018.5</f>
        <v>32829.987000000001</v>
      </c>
    </row>
    <row r="42" spans="1:30" x14ac:dyDescent="0.2">
      <c r="A42" s="7" t="s">
        <v>51</v>
      </c>
      <c r="B42" s="8"/>
      <c r="C42" s="6">
        <v>54115.379500000003</v>
      </c>
      <c r="D42" s="3">
        <v>1.1000000000000001E-3</v>
      </c>
      <c r="E42">
        <f>+(C42-C$7)/C$8</f>
        <v>2320.1324997244019</v>
      </c>
      <c r="F42">
        <f>ROUND(2*E42,0)/2</f>
        <v>2320</v>
      </c>
      <c r="G42">
        <f>+C42-(C$7+F42*C$8)</f>
        <v>0.461539999996603</v>
      </c>
      <c r="K42">
        <f>+G42</f>
        <v>0.461539999996603</v>
      </c>
      <c r="O42">
        <f ca="1">+C$11+C$12*$F42</f>
        <v>0.45330186561705016</v>
      </c>
      <c r="Q42" s="1">
        <f>+C42-15018.5</f>
        <v>39096.879500000003</v>
      </c>
    </row>
    <row r="43" spans="1:30" x14ac:dyDescent="0.2">
      <c r="A43" s="9" t="s">
        <v>56</v>
      </c>
      <c r="B43" s="10" t="s">
        <v>57</v>
      </c>
      <c r="C43" s="9">
        <v>54857.3675</v>
      </c>
      <c r="D43" s="9">
        <v>4.0000000000000002E-4</v>
      </c>
      <c r="E43">
        <f>+(C43-C$7)/C$8</f>
        <v>2533.1437349569142</v>
      </c>
      <c r="F43">
        <f>ROUND(2*E43,0)/2</f>
        <v>2533</v>
      </c>
      <c r="G43">
        <f>+C43-(C$7+F43*C$8)</f>
        <v>0.50067599999601953</v>
      </c>
      <c r="K43">
        <f>+G43</f>
        <v>0.50067599999601953</v>
      </c>
      <c r="O43">
        <f ca="1">+C$11+C$12*$F43</f>
        <v>0.4962193257306507</v>
      </c>
      <c r="Q43" s="1">
        <f>+C43-15018.5</f>
        <v>39838.8675</v>
      </c>
    </row>
    <row r="44" spans="1:30" x14ac:dyDescent="0.2">
      <c r="A44" s="2" t="s">
        <v>55</v>
      </c>
      <c r="C44" s="6">
        <v>54881.752099999998</v>
      </c>
      <c r="D44" s="6">
        <v>4.0000000000000002E-4</v>
      </c>
      <c r="E44">
        <f>+(C44-C$7)/C$8</f>
        <v>2540.1441093115536</v>
      </c>
      <c r="F44">
        <f>ROUND(2*E44,0)/2</f>
        <v>2540</v>
      </c>
      <c r="G44">
        <f>+C44-(C$7+F44*C$8)</f>
        <v>0.50197999999363674</v>
      </c>
      <c r="K44">
        <f>+G44</f>
        <v>0.50197999999363674</v>
      </c>
      <c r="O44">
        <f ca="1">+C$11+C$12*$F44</f>
        <v>0.4976297586921305</v>
      </c>
      <c r="Q44" s="1">
        <f>+C44-15018.5</f>
        <v>39863.252099999998</v>
      </c>
    </row>
    <row r="45" spans="1:30" x14ac:dyDescent="0.2">
      <c r="A45" s="11" t="s">
        <v>58</v>
      </c>
      <c r="B45" s="12" t="s">
        <v>57</v>
      </c>
      <c r="C45" s="11">
        <v>55947.7019</v>
      </c>
      <c r="D45" s="11">
        <v>4.0000000000000002E-4</v>
      </c>
      <c r="E45">
        <f>+(C45-C$7)/C$8</f>
        <v>2846.1588745016256</v>
      </c>
      <c r="F45">
        <f>ROUND(2*E45,0)/2</f>
        <v>2846</v>
      </c>
      <c r="G45">
        <f>+C45-(C$7+F45*C$8)</f>
        <v>0.55341199999384116</v>
      </c>
      <c r="K45">
        <f>+G45</f>
        <v>0.55341199999384116</v>
      </c>
      <c r="O45">
        <f ca="1">+C$11+C$12*$F45</f>
        <v>0.55928582815110595</v>
      </c>
      <c r="Q45" s="1">
        <f>+C45-15018.5</f>
        <v>40929.2019</v>
      </c>
    </row>
    <row r="46" spans="1:30" x14ac:dyDescent="0.2">
      <c r="C46" s="3"/>
      <c r="D46" s="3"/>
    </row>
    <row r="47" spans="1:30" x14ac:dyDescent="0.2">
      <c r="C47" s="3"/>
      <c r="D47" s="3"/>
    </row>
    <row r="48" spans="1:30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sortState xmlns:xlrd2="http://schemas.microsoft.com/office/spreadsheetml/2017/richdata2" ref="A21:AH48">
    <sortCondition ref="C21:C4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topLeftCell="A10" workbookViewId="0">
      <selection activeCell="A25" sqref="A25:C3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3" t="s">
        <v>59</v>
      </c>
      <c r="I1" s="14" t="s">
        <v>60</v>
      </c>
      <c r="J1" s="15" t="s">
        <v>61</v>
      </c>
    </row>
    <row r="2" spans="1:16" x14ac:dyDescent="0.2">
      <c r="I2" s="16" t="s">
        <v>62</v>
      </c>
      <c r="J2" s="17" t="s">
        <v>63</v>
      </c>
    </row>
    <row r="3" spans="1:16" x14ac:dyDescent="0.2">
      <c r="A3" s="18" t="s">
        <v>64</v>
      </c>
      <c r="I3" s="16" t="s">
        <v>65</v>
      </c>
      <c r="J3" s="17" t="s">
        <v>66</v>
      </c>
    </row>
    <row r="4" spans="1:16" x14ac:dyDescent="0.2">
      <c r="I4" s="16" t="s">
        <v>67</v>
      </c>
      <c r="J4" s="17" t="s">
        <v>66</v>
      </c>
    </row>
    <row r="5" spans="1:16" ht="13.5" thickBot="1" x14ac:dyDescent="0.25">
      <c r="I5" s="19" t="s">
        <v>68</v>
      </c>
      <c r="J5" s="20" t="s">
        <v>69</v>
      </c>
    </row>
    <row r="10" spans="1:16" ht="13.5" thickBot="1" x14ac:dyDescent="0.25"/>
    <row r="11" spans="1:16" ht="12.75" customHeight="1" thickBot="1" x14ac:dyDescent="0.25">
      <c r="A11" s="3" t="str">
        <f t="shared" ref="A11:A33" si="0">P11</f>
        <v> BBS 47 </v>
      </c>
      <c r="B11" s="5" t="str">
        <f t="shared" ref="B11:B33" si="1">IF(H11=INT(H11),"I","II")</f>
        <v>I</v>
      </c>
      <c r="C11" s="3">
        <f t="shared" ref="C11:C33" si="2">1*G11</f>
        <v>44316.322</v>
      </c>
      <c r="D11" s="4" t="str">
        <f t="shared" ref="D11:D33" si="3">VLOOKUP(F11,I$1:J$5,2,FALSE)</f>
        <v>vis</v>
      </c>
      <c r="E11" s="21">
        <f>VLOOKUP(C11,Active!C$21:E$973,3,FALSE)</f>
        <v>-492.99836248553146</v>
      </c>
      <c r="F11" s="5" t="s">
        <v>68</v>
      </c>
      <c r="G11" s="4" t="str">
        <f t="shared" ref="G11:G33" si="4">MID(I11,3,LEN(I11)-3)</f>
        <v>44316.322</v>
      </c>
      <c r="H11" s="3">
        <f t="shared" ref="H11:H33" si="5">1*K11</f>
        <v>-493</v>
      </c>
      <c r="I11" s="22" t="s">
        <v>76</v>
      </c>
      <c r="J11" s="23" t="s">
        <v>77</v>
      </c>
      <c r="K11" s="22">
        <v>-493</v>
      </c>
      <c r="L11" s="22" t="s">
        <v>78</v>
      </c>
      <c r="M11" s="23" t="s">
        <v>79</v>
      </c>
      <c r="N11" s="23"/>
      <c r="O11" s="24" t="s">
        <v>80</v>
      </c>
      <c r="P11" s="24" t="s">
        <v>81</v>
      </c>
    </row>
    <row r="12" spans="1:16" ht="12.75" customHeight="1" thickBot="1" x14ac:dyDescent="0.25">
      <c r="A12" s="3" t="str">
        <f t="shared" si="0"/>
        <v> BBS 51 </v>
      </c>
      <c r="B12" s="5" t="str">
        <f t="shared" si="1"/>
        <v>I</v>
      </c>
      <c r="C12" s="3">
        <f t="shared" si="2"/>
        <v>44563.646000000001</v>
      </c>
      <c r="D12" s="4" t="str">
        <f t="shared" si="3"/>
        <v>vis</v>
      </c>
      <c r="E12" s="21">
        <f>VLOOKUP(C12,Active!C$21:E$973,3,FALSE)</f>
        <v>-421.99614851084965</v>
      </c>
      <c r="F12" s="5" t="s">
        <v>68</v>
      </c>
      <c r="G12" s="4" t="str">
        <f t="shared" si="4"/>
        <v>44563.646</v>
      </c>
      <c r="H12" s="3">
        <f t="shared" si="5"/>
        <v>-422</v>
      </c>
      <c r="I12" s="22" t="s">
        <v>82</v>
      </c>
      <c r="J12" s="23" t="s">
        <v>83</v>
      </c>
      <c r="K12" s="22">
        <v>-422</v>
      </c>
      <c r="L12" s="22" t="s">
        <v>84</v>
      </c>
      <c r="M12" s="23" t="s">
        <v>79</v>
      </c>
      <c r="N12" s="23"/>
      <c r="O12" s="24" t="s">
        <v>80</v>
      </c>
      <c r="P12" s="24" t="s">
        <v>85</v>
      </c>
    </row>
    <row r="13" spans="1:16" ht="12.75" customHeight="1" thickBot="1" x14ac:dyDescent="0.25">
      <c r="A13" s="3" t="str">
        <f t="shared" si="0"/>
        <v> BBS 52 </v>
      </c>
      <c r="B13" s="5" t="str">
        <f t="shared" si="1"/>
        <v>I</v>
      </c>
      <c r="C13" s="3">
        <f t="shared" si="2"/>
        <v>44591.489000000001</v>
      </c>
      <c r="D13" s="4" t="str">
        <f t="shared" si="3"/>
        <v>vis</v>
      </c>
      <c r="E13" s="21">
        <f>VLOOKUP(C13,Active!C$21:E$973,3,FALSE)</f>
        <v>-414.00293053080276</v>
      </c>
      <c r="F13" s="5" t="s">
        <v>68</v>
      </c>
      <c r="G13" s="4" t="str">
        <f t="shared" si="4"/>
        <v>44591.489</v>
      </c>
      <c r="H13" s="3">
        <f t="shared" si="5"/>
        <v>-414</v>
      </c>
      <c r="I13" s="22" t="s">
        <v>86</v>
      </c>
      <c r="J13" s="23" t="s">
        <v>87</v>
      </c>
      <c r="K13" s="22">
        <v>-414</v>
      </c>
      <c r="L13" s="22" t="s">
        <v>88</v>
      </c>
      <c r="M13" s="23" t="s">
        <v>79</v>
      </c>
      <c r="N13" s="23"/>
      <c r="O13" s="24" t="s">
        <v>80</v>
      </c>
      <c r="P13" s="24" t="s">
        <v>89</v>
      </c>
    </row>
    <row r="14" spans="1:16" ht="12.75" customHeight="1" thickBot="1" x14ac:dyDescent="0.25">
      <c r="A14" s="3" t="str">
        <f t="shared" si="0"/>
        <v> BBS 59 </v>
      </c>
      <c r="B14" s="5" t="str">
        <f t="shared" si="1"/>
        <v>I</v>
      </c>
      <c r="C14" s="3">
        <f t="shared" si="2"/>
        <v>45044.326000000001</v>
      </c>
      <c r="D14" s="4" t="str">
        <f t="shared" si="3"/>
        <v>vis</v>
      </c>
      <c r="E14" s="21">
        <f>VLOOKUP(C14,Active!C$21:E$973,3,FALSE)</f>
        <v>-284.00167885424531</v>
      </c>
      <c r="F14" s="5" t="s">
        <v>68</v>
      </c>
      <c r="G14" s="4" t="str">
        <f t="shared" si="4"/>
        <v>45044.326</v>
      </c>
      <c r="H14" s="3">
        <f t="shared" si="5"/>
        <v>-284</v>
      </c>
      <c r="I14" s="22" t="s">
        <v>90</v>
      </c>
      <c r="J14" s="23" t="s">
        <v>91</v>
      </c>
      <c r="K14" s="22">
        <v>-284</v>
      </c>
      <c r="L14" s="22" t="s">
        <v>92</v>
      </c>
      <c r="M14" s="23" t="s">
        <v>79</v>
      </c>
      <c r="N14" s="23"/>
      <c r="O14" s="24" t="s">
        <v>80</v>
      </c>
      <c r="P14" s="24" t="s">
        <v>93</v>
      </c>
    </row>
    <row r="15" spans="1:16" ht="12.75" customHeight="1" thickBot="1" x14ac:dyDescent="0.25">
      <c r="A15" s="3" t="str">
        <f t="shared" si="0"/>
        <v> BBS 64 </v>
      </c>
      <c r="B15" s="5" t="str">
        <f t="shared" si="1"/>
        <v>I</v>
      </c>
      <c r="C15" s="3">
        <f t="shared" si="2"/>
        <v>45298.601999999999</v>
      </c>
      <c r="D15" s="4" t="str">
        <f t="shared" si="3"/>
        <v>vis</v>
      </c>
      <c r="E15" s="21">
        <f>VLOOKUP(C15,Active!C$21:E$973,3,FALSE)</f>
        <v>-211.00367235012109</v>
      </c>
      <c r="F15" s="5" t="s">
        <v>68</v>
      </c>
      <c r="G15" s="4" t="str">
        <f t="shared" si="4"/>
        <v>45298.602</v>
      </c>
      <c r="H15" s="3">
        <f t="shared" si="5"/>
        <v>-211</v>
      </c>
      <c r="I15" s="22" t="s">
        <v>94</v>
      </c>
      <c r="J15" s="23" t="s">
        <v>95</v>
      </c>
      <c r="K15" s="22">
        <v>-211</v>
      </c>
      <c r="L15" s="22" t="s">
        <v>96</v>
      </c>
      <c r="M15" s="23" t="s">
        <v>79</v>
      </c>
      <c r="N15" s="23"/>
      <c r="O15" s="24" t="s">
        <v>80</v>
      </c>
      <c r="P15" s="24" t="s">
        <v>97</v>
      </c>
    </row>
    <row r="16" spans="1:16" ht="12.75" customHeight="1" thickBot="1" x14ac:dyDescent="0.25">
      <c r="A16" s="3" t="str">
        <f t="shared" si="0"/>
        <v> BBS 74 </v>
      </c>
      <c r="B16" s="5" t="str">
        <f t="shared" si="1"/>
        <v>I</v>
      </c>
      <c r="C16" s="3">
        <f t="shared" si="2"/>
        <v>46033.597000000002</v>
      </c>
      <c r="D16" s="4" t="str">
        <f t="shared" si="3"/>
        <v>vis</v>
      </c>
      <c r="E16" s="21">
        <f>VLOOKUP(C16,Active!C$21:E$973,3,FALSE)</f>
        <v>0</v>
      </c>
      <c r="F16" s="5" t="s">
        <v>68</v>
      </c>
      <c r="G16" s="4" t="str">
        <f t="shared" si="4"/>
        <v>46033.597</v>
      </c>
      <c r="H16" s="3">
        <f t="shared" si="5"/>
        <v>0</v>
      </c>
      <c r="I16" s="22" t="s">
        <v>107</v>
      </c>
      <c r="J16" s="23" t="s">
        <v>108</v>
      </c>
      <c r="K16" s="22">
        <v>0</v>
      </c>
      <c r="L16" s="22" t="s">
        <v>109</v>
      </c>
      <c r="M16" s="23" t="s">
        <v>79</v>
      </c>
      <c r="N16" s="23"/>
      <c r="O16" s="24" t="s">
        <v>80</v>
      </c>
      <c r="P16" s="24" t="s">
        <v>110</v>
      </c>
    </row>
    <row r="17" spans="1:16" ht="12.75" customHeight="1" thickBot="1" x14ac:dyDescent="0.25">
      <c r="A17" s="3" t="str">
        <f t="shared" si="0"/>
        <v> BBS 75 </v>
      </c>
      <c r="B17" s="5" t="str">
        <f t="shared" si="1"/>
        <v>I</v>
      </c>
      <c r="C17" s="3">
        <f t="shared" si="2"/>
        <v>46054.504999999997</v>
      </c>
      <c r="D17" s="4" t="str">
        <f t="shared" si="3"/>
        <v>vis</v>
      </c>
      <c r="E17" s="21">
        <f>VLOOKUP(C17,Active!C$21:E$973,3,FALSE)</f>
        <v>6.0023058408498446</v>
      </c>
      <c r="F17" s="5" t="s">
        <v>68</v>
      </c>
      <c r="G17" s="4" t="str">
        <f t="shared" si="4"/>
        <v>46054.505</v>
      </c>
      <c r="H17" s="3">
        <f t="shared" si="5"/>
        <v>6</v>
      </c>
      <c r="I17" s="22" t="s">
        <v>111</v>
      </c>
      <c r="J17" s="23" t="s">
        <v>112</v>
      </c>
      <c r="K17" s="22">
        <v>6</v>
      </c>
      <c r="L17" s="22" t="s">
        <v>113</v>
      </c>
      <c r="M17" s="23" t="s">
        <v>79</v>
      </c>
      <c r="N17" s="23"/>
      <c r="O17" s="24" t="s">
        <v>80</v>
      </c>
      <c r="P17" s="24" t="s">
        <v>114</v>
      </c>
    </row>
    <row r="18" spans="1:16" ht="12.75" customHeight="1" thickBot="1" x14ac:dyDescent="0.25">
      <c r="A18" s="3" t="str">
        <f t="shared" si="0"/>
        <v> BBS 81 </v>
      </c>
      <c r="B18" s="5" t="str">
        <f t="shared" si="1"/>
        <v>I</v>
      </c>
      <c r="C18" s="3">
        <f t="shared" si="2"/>
        <v>46702.421999999999</v>
      </c>
      <c r="D18" s="4" t="str">
        <f t="shared" si="3"/>
        <v>vis</v>
      </c>
      <c r="E18" s="21">
        <f>VLOOKUP(C18,Active!C$21:E$973,3,FALSE)</f>
        <v>192.00747101622272</v>
      </c>
      <c r="F18" s="5" t="s">
        <v>68</v>
      </c>
      <c r="G18" s="4" t="str">
        <f t="shared" si="4"/>
        <v>46702.422</v>
      </c>
      <c r="H18" s="3">
        <f t="shared" si="5"/>
        <v>192</v>
      </c>
      <c r="I18" s="22" t="s">
        <v>115</v>
      </c>
      <c r="J18" s="23" t="s">
        <v>116</v>
      </c>
      <c r="K18" s="22">
        <v>192</v>
      </c>
      <c r="L18" s="22" t="s">
        <v>117</v>
      </c>
      <c r="M18" s="23" t="s">
        <v>79</v>
      </c>
      <c r="N18" s="23"/>
      <c r="O18" s="24" t="s">
        <v>80</v>
      </c>
      <c r="P18" s="24" t="s">
        <v>118</v>
      </c>
    </row>
    <row r="19" spans="1:16" ht="12.75" customHeight="1" thickBot="1" x14ac:dyDescent="0.25">
      <c r="A19" s="3" t="str">
        <f t="shared" si="0"/>
        <v> BBS 82 </v>
      </c>
      <c r="B19" s="5" t="str">
        <f t="shared" si="1"/>
        <v>I</v>
      </c>
      <c r="C19" s="3">
        <f t="shared" si="2"/>
        <v>46831.296999999999</v>
      </c>
      <c r="D19" s="4" t="str">
        <f t="shared" si="3"/>
        <v>vis</v>
      </c>
      <c r="E19" s="21">
        <f>VLOOKUP(C19,Active!C$21:E$973,3,FALSE)</f>
        <v>229.00513531886662</v>
      </c>
      <c r="F19" s="5" t="s">
        <v>68</v>
      </c>
      <c r="G19" s="4" t="str">
        <f t="shared" si="4"/>
        <v>46831.297</v>
      </c>
      <c r="H19" s="3">
        <f t="shared" si="5"/>
        <v>229</v>
      </c>
      <c r="I19" s="22" t="s">
        <v>119</v>
      </c>
      <c r="J19" s="23" t="s">
        <v>120</v>
      </c>
      <c r="K19" s="22">
        <v>229</v>
      </c>
      <c r="L19" s="22" t="s">
        <v>121</v>
      </c>
      <c r="M19" s="23" t="s">
        <v>79</v>
      </c>
      <c r="N19" s="23"/>
      <c r="O19" s="24" t="s">
        <v>80</v>
      </c>
      <c r="P19" s="24" t="s">
        <v>122</v>
      </c>
    </row>
    <row r="20" spans="1:16" ht="12.75" customHeight="1" thickBot="1" x14ac:dyDescent="0.25">
      <c r="A20" s="3" t="str">
        <f t="shared" si="0"/>
        <v> BBS 90 </v>
      </c>
      <c r="B20" s="5" t="str">
        <f t="shared" si="1"/>
        <v>I</v>
      </c>
      <c r="C20" s="3">
        <f t="shared" si="2"/>
        <v>47524.527000000002</v>
      </c>
      <c r="D20" s="4" t="str">
        <f t="shared" si="3"/>
        <v>vis</v>
      </c>
      <c r="E20" s="21">
        <f>VLOOKUP(C20,Active!C$21:E$973,3,FALSE)</f>
        <v>428.01883715802825</v>
      </c>
      <c r="F20" s="5" t="s">
        <v>68</v>
      </c>
      <c r="G20" s="4" t="str">
        <f t="shared" si="4"/>
        <v>47524.527</v>
      </c>
      <c r="H20" s="3">
        <f t="shared" si="5"/>
        <v>428</v>
      </c>
      <c r="I20" s="22" t="s">
        <v>128</v>
      </c>
      <c r="J20" s="23" t="s">
        <v>129</v>
      </c>
      <c r="K20" s="22">
        <v>428</v>
      </c>
      <c r="L20" s="22" t="s">
        <v>130</v>
      </c>
      <c r="M20" s="23" t="s">
        <v>79</v>
      </c>
      <c r="N20" s="23"/>
      <c r="O20" s="24" t="s">
        <v>80</v>
      </c>
      <c r="P20" s="24" t="s">
        <v>131</v>
      </c>
    </row>
    <row r="21" spans="1:16" ht="12.75" customHeight="1" thickBot="1" x14ac:dyDescent="0.25">
      <c r="A21" s="3" t="str">
        <f t="shared" si="0"/>
        <v>BAVM 186 </v>
      </c>
      <c r="B21" s="5" t="str">
        <f t="shared" si="1"/>
        <v>I</v>
      </c>
      <c r="C21" s="3">
        <f t="shared" si="2"/>
        <v>54115.379500000003</v>
      </c>
      <c r="D21" s="4" t="str">
        <f t="shared" si="3"/>
        <v>vis</v>
      </c>
      <c r="E21" s="21">
        <f>VLOOKUP(C21,Active!C$21:E$973,3,FALSE)</f>
        <v>2320.1324997244019</v>
      </c>
      <c r="F21" s="5" t="s">
        <v>68</v>
      </c>
      <c r="G21" s="4" t="str">
        <f t="shared" si="4"/>
        <v>54115.3795</v>
      </c>
      <c r="H21" s="3">
        <f t="shared" si="5"/>
        <v>2320</v>
      </c>
      <c r="I21" s="22" t="s">
        <v>144</v>
      </c>
      <c r="J21" s="23" t="s">
        <v>145</v>
      </c>
      <c r="K21" s="22">
        <v>2320</v>
      </c>
      <c r="L21" s="22" t="s">
        <v>146</v>
      </c>
      <c r="M21" s="23" t="s">
        <v>147</v>
      </c>
      <c r="N21" s="23" t="s">
        <v>148</v>
      </c>
      <c r="O21" s="24" t="s">
        <v>149</v>
      </c>
      <c r="P21" s="25" t="s">
        <v>150</v>
      </c>
    </row>
    <row r="22" spans="1:16" ht="12.75" customHeight="1" thickBot="1" x14ac:dyDescent="0.25">
      <c r="A22" s="3" t="str">
        <f t="shared" si="0"/>
        <v>BAVM 209 </v>
      </c>
      <c r="B22" s="5" t="str">
        <f t="shared" si="1"/>
        <v>I</v>
      </c>
      <c r="C22" s="3">
        <f t="shared" si="2"/>
        <v>54857.3675</v>
      </c>
      <c r="D22" s="4" t="str">
        <f t="shared" si="3"/>
        <v>vis</v>
      </c>
      <c r="E22" s="21">
        <f>VLOOKUP(C22,Active!C$21:E$973,3,FALSE)</f>
        <v>2533.1437349569142</v>
      </c>
      <c r="F22" s="5" t="s">
        <v>68</v>
      </c>
      <c r="G22" s="4" t="str">
        <f t="shared" si="4"/>
        <v>54857.3675</v>
      </c>
      <c r="H22" s="3">
        <f t="shared" si="5"/>
        <v>2533</v>
      </c>
      <c r="I22" s="22" t="s">
        <v>151</v>
      </c>
      <c r="J22" s="23" t="s">
        <v>152</v>
      </c>
      <c r="K22" s="22" t="s">
        <v>153</v>
      </c>
      <c r="L22" s="22" t="s">
        <v>154</v>
      </c>
      <c r="M22" s="23" t="s">
        <v>147</v>
      </c>
      <c r="N22" s="23" t="s">
        <v>148</v>
      </c>
      <c r="O22" s="24" t="s">
        <v>149</v>
      </c>
      <c r="P22" s="25" t="s">
        <v>155</v>
      </c>
    </row>
    <row r="23" spans="1:16" ht="12.75" customHeight="1" thickBot="1" x14ac:dyDescent="0.25">
      <c r="A23" s="3" t="str">
        <f t="shared" si="0"/>
        <v>IBVS 5929 </v>
      </c>
      <c r="B23" s="5" t="str">
        <f t="shared" si="1"/>
        <v>I</v>
      </c>
      <c r="C23" s="3">
        <f t="shared" si="2"/>
        <v>54881.752099999998</v>
      </c>
      <c r="D23" s="4" t="str">
        <f t="shared" si="3"/>
        <v>vis</v>
      </c>
      <c r="E23" s="21">
        <f>VLOOKUP(C23,Active!C$21:E$973,3,FALSE)</f>
        <v>2540.1441093115536</v>
      </c>
      <c r="F23" s="5" t="s">
        <v>68</v>
      </c>
      <c r="G23" s="4" t="str">
        <f t="shared" si="4"/>
        <v>54881.7521</v>
      </c>
      <c r="H23" s="3">
        <f t="shared" si="5"/>
        <v>2540</v>
      </c>
      <c r="I23" s="22" t="s">
        <v>156</v>
      </c>
      <c r="J23" s="23" t="s">
        <v>157</v>
      </c>
      <c r="K23" s="22" t="s">
        <v>158</v>
      </c>
      <c r="L23" s="22" t="s">
        <v>159</v>
      </c>
      <c r="M23" s="23" t="s">
        <v>147</v>
      </c>
      <c r="N23" s="23" t="s">
        <v>60</v>
      </c>
      <c r="O23" s="24" t="s">
        <v>160</v>
      </c>
      <c r="P23" s="25" t="s">
        <v>161</v>
      </c>
    </row>
    <row r="24" spans="1:16" ht="12.75" customHeight="1" thickBot="1" x14ac:dyDescent="0.25">
      <c r="A24" s="3" t="str">
        <f t="shared" si="0"/>
        <v>IBVS 6029 </v>
      </c>
      <c r="B24" s="5" t="str">
        <f t="shared" si="1"/>
        <v>I</v>
      </c>
      <c r="C24" s="3">
        <f t="shared" si="2"/>
        <v>55947.7019</v>
      </c>
      <c r="D24" s="4" t="str">
        <f t="shared" si="3"/>
        <v>vis</v>
      </c>
      <c r="E24" s="21">
        <f>VLOOKUP(C24,Active!C$21:E$973,3,FALSE)</f>
        <v>2846.1588745016256</v>
      </c>
      <c r="F24" s="5" t="s">
        <v>68</v>
      </c>
      <c r="G24" s="4" t="str">
        <f t="shared" si="4"/>
        <v>55947.7019</v>
      </c>
      <c r="H24" s="3">
        <f t="shared" si="5"/>
        <v>2846</v>
      </c>
      <c r="I24" s="22" t="s">
        <v>162</v>
      </c>
      <c r="J24" s="23" t="s">
        <v>163</v>
      </c>
      <c r="K24" s="22" t="s">
        <v>164</v>
      </c>
      <c r="L24" s="22" t="s">
        <v>165</v>
      </c>
      <c r="M24" s="23" t="s">
        <v>147</v>
      </c>
      <c r="N24" s="23" t="s">
        <v>68</v>
      </c>
      <c r="O24" s="24" t="s">
        <v>166</v>
      </c>
      <c r="P24" s="25" t="s">
        <v>167</v>
      </c>
    </row>
    <row r="25" spans="1:16" ht="12.75" customHeight="1" thickBot="1" x14ac:dyDescent="0.25">
      <c r="A25" s="3" t="str">
        <f t="shared" si="0"/>
        <v> PZ 4.122 </v>
      </c>
      <c r="B25" s="5" t="str">
        <f t="shared" si="1"/>
        <v>I</v>
      </c>
      <c r="C25" s="3">
        <f t="shared" si="2"/>
        <v>27041.37</v>
      </c>
      <c r="D25" s="4" t="str">
        <f t="shared" si="3"/>
        <v>vis</v>
      </c>
      <c r="E25" s="21">
        <f>VLOOKUP(C25,Active!C$21:E$973,3,FALSE)</f>
        <v>-5452.3223193451786</v>
      </c>
      <c r="F25" s="5" t="s">
        <v>68</v>
      </c>
      <c r="G25" s="4" t="str">
        <f t="shared" si="4"/>
        <v>27041.37</v>
      </c>
      <c r="H25" s="3">
        <f t="shared" si="5"/>
        <v>-5452</v>
      </c>
      <c r="I25" s="22" t="s">
        <v>70</v>
      </c>
      <c r="J25" s="23" t="s">
        <v>71</v>
      </c>
      <c r="K25" s="22">
        <v>-5452</v>
      </c>
      <c r="L25" s="22" t="s">
        <v>72</v>
      </c>
      <c r="M25" s="23" t="s">
        <v>73</v>
      </c>
      <c r="N25" s="23"/>
      <c r="O25" s="24" t="s">
        <v>74</v>
      </c>
      <c r="P25" s="24" t="s">
        <v>75</v>
      </c>
    </row>
    <row r="26" spans="1:16" ht="12.75" customHeight="1" thickBot="1" x14ac:dyDescent="0.25">
      <c r="A26" s="3" t="str">
        <f t="shared" si="0"/>
        <v> BRNO 26 </v>
      </c>
      <c r="B26" s="5" t="str">
        <f t="shared" si="1"/>
        <v>I</v>
      </c>
      <c r="C26" s="3">
        <f t="shared" si="2"/>
        <v>45671.355000000003</v>
      </c>
      <c r="D26" s="4" t="str">
        <f t="shared" si="3"/>
        <v>vis</v>
      </c>
      <c r="E26" s="21">
        <f>VLOOKUP(C26,Active!C$21:E$973,3,FALSE)</f>
        <v>-103.99307788413792</v>
      </c>
      <c r="F26" s="5" t="s">
        <v>68</v>
      </c>
      <c r="G26" s="4" t="str">
        <f t="shared" si="4"/>
        <v>45671.355</v>
      </c>
      <c r="H26" s="3">
        <f t="shared" si="5"/>
        <v>-104</v>
      </c>
      <c r="I26" s="22" t="s">
        <v>98</v>
      </c>
      <c r="J26" s="23" t="s">
        <v>99</v>
      </c>
      <c r="K26" s="22">
        <v>-104</v>
      </c>
      <c r="L26" s="22" t="s">
        <v>100</v>
      </c>
      <c r="M26" s="23" t="s">
        <v>79</v>
      </c>
      <c r="N26" s="23"/>
      <c r="O26" s="24" t="s">
        <v>101</v>
      </c>
      <c r="P26" s="24" t="s">
        <v>102</v>
      </c>
    </row>
    <row r="27" spans="1:16" ht="12.75" customHeight="1" thickBot="1" x14ac:dyDescent="0.25">
      <c r="A27" s="3" t="str">
        <f t="shared" si="0"/>
        <v> BRNO 26 </v>
      </c>
      <c r="B27" s="5" t="str">
        <f t="shared" si="1"/>
        <v>I</v>
      </c>
      <c r="C27" s="3">
        <f t="shared" si="2"/>
        <v>45671.368999999999</v>
      </c>
      <c r="D27" s="4" t="str">
        <f t="shared" si="3"/>
        <v>vis</v>
      </c>
      <c r="E27" s="21">
        <f>VLOOKUP(C27,Active!C$21:E$973,3,FALSE)</f>
        <v>-103.98905873922949</v>
      </c>
      <c r="F27" s="5" t="s">
        <v>68</v>
      </c>
      <c r="G27" s="4" t="str">
        <f t="shared" si="4"/>
        <v>45671.369</v>
      </c>
      <c r="H27" s="3">
        <f t="shared" si="5"/>
        <v>-104</v>
      </c>
      <c r="I27" s="22" t="s">
        <v>103</v>
      </c>
      <c r="J27" s="23" t="s">
        <v>104</v>
      </c>
      <c r="K27" s="22">
        <v>-104</v>
      </c>
      <c r="L27" s="22" t="s">
        <v>105</v>
      </c>
      <c r="M27" s="23" t="s">
        <v>79</v>
      </c>
      <c r="N27" s="23"/>
      <c r="O27" s="24" t="s">
        <v>106</v>
      </c>
      <c r="P27" s="24" t="s">
        <v>102</v>
      </c>
    </row>
    <row r="28" spans="1:16" ht="12.75" customHeight="1" thickBot="1" x14ac:dyDescent="0.25">
      <c r="A28" s="3" t="str">
        <f t="shared" si="0"/>
        <v> BRNO 30 </v>
      </c>
      <c r="B28" s="5" t="str">
        <f t="shared" si="1"/>
        <v>I</v>
      </c>
      <c r="C28" s="3">
        <f t="shared" si="2"/>
        <v>47524.525999999998</v>
      </c>
      <c r="D28" s="4" t="str">
        <f t="shared" si="3"/>
        <v>vis</v>
      </c>
      <c r="E28" s="21">
        <f>VLOOKUP(C28,Active!C$21:E$973,3,FALSE)</f>
        <v>428.01855007624789</v>
      </c>
      <c r="F28" s="5" t="s">
        <v>68</v>
      </c>
      <c r="G28" s="4" t="str">
        <f t="shared" si="4"/>
        <v>47524.526</v>
      </c>
      <c r="H28" s="3">
        <f t="shared" si="5"/>
        <v>428</v>
      </c>
      <c r="I28" s="22" t="s">
        <v>123</v>
      </c>
      <c r="J28" s="23" t="s">
        <v>124</v>
      </c>
      <c r="K28" s="22">
        <v>428</v>
      </c>
      <c r="L28" s="22" t="s">
        <v>125</v>
      </c>
      <c r="M28" s="23" t="s">
        <v>79</v>
      </c>
      <c r="N28" s="23"/>
      <c r="O28" s="24" t="s">
        <v>126</v>
      </c>
      <c r="P28" s="24" t="s">
        <v>127</v>
      </c>
    </row>
    <row r="29" spans="1:16" ht="12.75" customHeight="1" thickBot="1" x14ac:dyDescent="0.25">
      <c r="A29" s="3" t="str">
        <f t="shared" si="0"/>
        <v> BRNO 30 </v>
      </c>
      <c r="B29" s="5" t="str">
        <f t="shared" si="1"/>
        <v>I</v>
      </c>
      <c r="C29" s="3">
        <f t="shared" si="2"/>
        <v>47524.531000000003</v>
      </c>
      <c r="D29" s="4" t="str">
        <f t="shared" si="3"/>
        <v>vis</v>
      </c>
      <c r="E29" s="21">
        <f>VLOOKUP(C29,Active!C$21:E$973,3,FALSE)</f>
        <v>428.01998548514553</v>
      </c>
      <c r="F29" s="5" t="s">
        <v>68</v>
      </c>
      <c r="G29" s="4" t="str">
        <f t="shared" si="4"/>
        <v>47524.531</v>
      </c>
      <c r="H29" s="3">
        <f t="shared" si="5"/>
        <v>428</v>
      </c>
      <c r="I29" s="22" t="s">
        <v>132</v>
      </c>
      <c r="J29" s="23" t="s">
        <v>133</v>
      </c>
      <c r="K29" s="22">
        <v>428</v>
      </c>
      <c r="L29" s="22" t="s">
        <v>134</v>
      </c>
      <c r="M29" s="23" t="s">
        <v>79</v>
      </c>
      <c r="N29" s="23"/>
      <c r="O29" s="24" t="s">
        <v>101</v>
      </c>
      <c r="P29" s="24" t="s">
        <v>127</v>
      </c>
    </row>
    <row r="30" spans="1:16" ht="12.75" customHeight="1" thickBot="1" x14ac:dyDescent="0.25">
      <c r="A30" s="3" t="str">
        <f t="shared" si="0"/>
        <v> BRNO 30 </v>
      </c>
      <c r="B30" s="5" t="str">
        <f t="shared" si="1"/>
        <v>I</v>
      </c>
      <c r="C30" s="3">
        <f t="shared" si="2"/>
        <v>47538.455999999998</v>
      </c>
      <c r="D30" s="4" t="str">
        <f t="shared" si="3"/>
        <v>vis</v>
      </c>
      <c r="E30" s="21">
        <f>VLOOKUP(C30,Active!C$21:E$973,3,FALSE)</f>
        <v>432.01759926139505</v>
      </c>
      <c r="F30" s="5" t="s">
        <v>68</v>
      </c>
      <c r="G30" s="4" t="str">
        <f t="shared" si="4"/>
        <v>47538.456</v>
      </c>
      <c r="H30" s="3">
        <f t="shared" si="5"/>
        <v>432</v>
      </c>
      <c r="I30" s="22" t="s">
        <v>135</v>
      </c>
      <c r="J30" s="23" t="s">
        <v>136</v>
      </c>
      <c r="K30" s="22">
        <v>432</v>
      </c>
      <c r="L30" s="22" t="s">
        <v>137</v>
      </c>
      <c r="M30" s="23" t="s">
        <v>79</v>
      </c>
      <c r="N30" s="23"/>
      <c r="O30" s="24" t="s">
        <v>126</v>
      </c>
      <c r="P30" s="24" t="s">
        <v>127</v>
      </c>
    </row>
    <row r="31" spans="1:16" ht="12.75" customHeight="1" thickBot="1" x14ac:dyDescent="0.25">
      <c r="A31" s="3" t="str">
        <f t="shared" si="0"/>
        <v> BRNO 30 </v>
      </c>
      <c r="B31" s="5" t="str">
        <f t="shared" si="1"/>
        <v>I</v>
      </c>
      <c r="C31" s="3">
        <f t="shared" si="2"/>
        <v>47538.464999999997</v>
      </c>
      <c r="D31" s="4" t="str">
        <f t="shared" si="3"/>
        <v>vis</v>
      </c>
      <c r="E31" s="21">
        <f>VLOOKUP(C31,Active!C$21:E$973,3,FALSE)</f>
        <v>432.02018299740791</v>
      </c>
      <c r="F31" s="5" t="s">
        <v>68</v>
      </c>
      <c r="G31" s="4" t="str">
        <f t="shared" si="4"/>
        <v>47538.465</v>
      </c>
      <c r="H31" s="3">
        <f t="shared" si="5"/>
        <v>432</v>
      </c>
      <c r="I31" s="22" t="s">
        <v>138</v>
      </c>
      <c r="J31" s="23" t="s">
        <v>139</v>
      </c>
      <c r="K31" s="22">
        <v>432</v>
      </c>
      <c r="L31" s="22" t="s">
        <v>134</v>
      </c>
      <c r="M31" s="23" t="s">
        <v>79</v>
      </c>
      <c r="N31" s="23"/>
      <c r="O31" s="24" t="s">
        <v>101</v>
      </c>
      <c r="P31" s="24" t="s">
        <v>127</v>
      </c>
    </row>
    <row r="32" spans="1:16" ht="12.75" customHeight="1" thickBot="1" x14ac:dyDescent="0.25">
      <c r="A32" s="3" t="str">
        <f t="shared" si="0"/>
        <v> BRNO 30 </v>
      </c>
      <c r="B32" s="5" t="str">
        <f t="shared" si="1"/>
        <v>I</v>
      </c>
      <c r="C32" s="3">
        <f t="shared" si="2"/>
        <v>47538.464999999997</v>
      </c>
      <c r="D32" s="4" t="str">
        <f t="shared" si="3"/>
        <v>vis</v>
      </c>
      <c r="E32" s="21">
        <f>VLOOKUP(C32,Active!C$21:E$973,3,FALSE)</f>
        <v>432.02018299740791</v>
      </c>
      <c r="F32" s="5" t="s">
        <v>68</v>
      </c>
      <c r="G32" s="4" t="str">
        <f t="shared" si="4"/>
        <v>47538.465</v>
      </c>
      <c r="H32" s="3">
        <f t="shared" si="5"/>
        <v>432</v>
      </c>
      <c r="I32" s="22" t="s">
        <v>138</v>
      </c>
      <c r="J32" s="23" t="s">
        <v>139</v>
      </c>
      <c r="K32" s="22">
        <v>432</v>
      </c>
      <c r="L32" s="22" t="s">
        <v>134</v>
      </c>
      <c r="M32" s="23" t="s">
        <v>79</v>
      </c>
      <c r="N32" s="23"/>
      <c r="O32" s="24" t="s">
        <v>140</v>
      </c>
      <c r="P32" s="24" t="s">
        <v>127</v>
      </c>
    </row>
    <row r="33" spans="1:16" ht="12.75" customHeight="1" thickBot="1" x14ac:dyDescent="0.25">
      <c r="A33" s="3" t="str">
        <f t="shared" si="0"/>
        <v> BRNO 30 </v>
      </c>
      <c r="B33" s="5" t="str">
        <f t="shared" si="1"/>
        <v>I</v>
      </c>
      <c r="C33" s="3">
        <f t="shared" si="2"/>
        <v>47848.487000000001</v>
      </c>
      <c r="D33" s="4" t="str">
        <f t="shared" si="3"/>
        <v>vis</v>
      </c>
      <c r="E33" s="21">
        <f>VLOOKUP(C33,Active!C$21:E$973,3,FALSE)</f>
        <v>521.02185036838318</v>
      </c>
      <c r="F33" s="5" t="s">
        <v>68</v>
      </c>
      <c r="G33" s="4" t="str">
        <f t="shared" si="4"/>
        <v>47848.487</v>
      </c>
      <c r="H33" s="3">
        <f t="shared" si="5"/>
        <v>521</v>
      </c>
      <c r="I33" s="22" t="s">
        <v>141</v>
      </c>
      <c r="J33" s="23" t="s">
        <v>142</v>
      </c>
      <c r="K33" s="22">
        <v>521</v>
      </c>
      <c r="L33" s="22" t="s">
        <v>143</v>
      </c>
      <c r="M33" s="23" t="s">
        <v>79</v>
      </c>
      <c r="N33" s="23"/>
      <c r="O33" s="24" t="s">
        <v>140</v>
      </c>
      <c r="P33" s="24" t="s">
        <v>127</v>
      </c>
    </row>
    <row r="34" spans="1:16" x14ac:dyDescent="0.2">
      <c r="B34" s="5"/>
      <c r="E34" s="21"/>
      <c r="F34" s="5"/>
    </row>
    <row r="35" spans="1:16" x14ac:dyDescent="0.2">
      <c r="B35" s="5"/>
      <c r="E35" s="21"/>
      <c r="F35" s="5"/>
    </row>
    <row r="36" spans="1:16" x14ac:dyDescent="0.2">
      <c r="B36" s="5"/>
      <c r="E36" s="21"/>
      <c r="F36" s="5"/>
    </row>
    <row r="37" spans="1:16" x14ac:dyDescent="0.2">
      <c r="B37" s="5"/>
      <c r="E37" s="21"/>
      <c r="F37" s="5"/>
    </row>
    <row r="38" spans="1:16" x14ac:dyDescent="0.2">
      <c r="B38" s="5"/>
      <c r="E38" s="21"/>
      <c r="F38" s="5"/>
    </row>
    <row r="39" spans="1:16" x14ac:dyDescent="0.2">
      <c r="B39" s="5"/>
      <c r="E39" s="21"/>
      <c r="F39" s="5"/>
    </row>
    <row r="40" spans="1:16" x14ac:dyDescent="0.2">
      <c r="B40" s="5"/>
      <c r="E40" s="21"/>
      <c r="F40" s="5"/>
    </row>
    <row r="41" spans="1:16" x14ac:dyDescent="0.2">
      <c r="B41" s="5"/>
      <c r="E41" s="21"/>
      <c r="F41" s="5"/>
    </row>
    <row r="42" spans="1:16" x14ac:dyDescent="0.2">
      <c r="B42" s="5"/>
      <c r="E42" s="21"/>
      <c r="F42" s="5"/>
    </row>
    <row r="43" spans="1:16" x14ac:dyDescent="0.2">
      <c r="B43" s="5"/>
      <c r="E43" s="21"/>
      <c r="F43" s="5"/>
    </row>
    <row r="44" spans="1:16" x14ac:dyDescent="0.2">
      <c r="B44" s="5"/>
      <c r="E44" s="21"/>
      <c r="F44" s="5"/>
    </row>
    <row r="45" spans="1:16" x14ac:dyDescent="0.2">
      <c r="B45" s="5"/>
      <c r="E45" s="21"/>
      <c r="F45" s="5"/>
    </row>
    <row r="46" spans="1:16" x14ac:dyDescent="0.2">
      <c r="B46" s="5"/>
      <c r="E46" s="21"/>
      <c r="F46" s="5"/>
    </row>
    <row r="47" spans="1:16" x14ac:dyDescent="0.2">
      <c r="B47" s="5"/>
      <c r="E47" s="21"/>
      <c r="F47" s="5"/>
    </row>
    <row r="48" spans="1:16" x14ac:dyDescent="0.2">
      <c r="B48" s="5"/>
      <c r="E48" s="21"/>
      <c r="F48" s="5"/>
    </row>
    <row r="49" spans="2:6" x14ac:dyDescent="0.2">
      <c r="B49" s="5"/>
      <c r="E49" s="21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7" type="noConversion"/>
  <hyperlinks>
    <hyperlink ref="P21" r:id="rId1" display="http://www.bav-astro.de/sfs/BAVM_link.php?BAVMnr=186"/>
    <hyperlink ref="P22" r:id="rId2" display="http://www.bav-astro.de/sfs/BAVM_link.php?BAVMnr=209"/>
    <hyperlink ref="P23" r:id="rId3" display="http://www.konkoly.hu/cgi-bin/IBVS?5929"/>
    <hyperlink ref="P24" r:id="rId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2024-03-07T04:29:46Z</dcterms:modified>
</cp:coreProperties>
</file>