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9A66200-8C46-48B2-94FA-6D8AB3E5874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C8" i="1"/>
  <c r="C9" i="1"/>
  <c r="D9" i="1"/>
  <c r="F16" i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I35" i="1"/>
  <c r="Q35" i="1"/>
  <c r="E36" i="1"/>
  <c r="F36" i="1"/>
  <c r="G36" i="1"/>
  <c r="I36" i="1"/>
  <c r="Q36" i="1"/>
  <c r="E37" i="1"/>
  <c r="F37" i="1"/>
  <c r="G37" i="1"/>
  <c r="I37" i="1"/>
  <c r="Q37" i="1"/>
  <c r="E38" i="1"/>
  <c r="F38" i="1"/>
  <c r="G38" i="1"/>
  <c r="I38" i="1"/>
  <c r="Q38" i="1"/>
  <c r="E39" i="1"/>
  <c r="F39" i="1"/>
  <c r="G39" i="1"/>
  <c r="I39" i="1"/>
  <c r="Q39" i="1"/>
  <c r="E40" i="1"/>
  <c r="F40" i="1"/>
  <c r="G40" i="1"/>
  <c r="I40" i="1"/>
  <c r="Q40" i="1"/>
  <c r="E41" i="1"/>
  <c r="F41" i="1"/>
  <c r="G41" i="1"/>
  <c r="H41" i="1"/>
  <c r="Q41" i="1"/>
  <c r="E42" i="1"/>
  <c r="F42" i="1"/>
  <c r="G42" i="1"/>
  <c r="I42" i="1"/>
  <c r="Q42" i="1"/>
  <c r="E43" i="1"/>
  <c r="F43" i="1"/>
  <c r="G43" i="1"/>
  <c r="I43" i="1"/>
  <c r="Q43" i="1"/>
  <c r="E44" i="1"/>
  <c r="F44" i="1"/>
  <c r="G44" i="1"/>
  <c r="I44" i="1"/>
  <c r="Q44" i="1"/>
  <c r="E45" i="1"/>
  <c r="F45" i="1"/>
  <c r="G45" i="1"/>
  <c r="I45" i="1"/>
  <c r="Q45" i="1"/>
  <c r="E46" i="1"/>
  <c r="F46" i="1"/>
  <c r="G46" i="1"/>
  <c r="I46" i="1"/>
  <c r="Q46" i="1"/>
  <c r="E47" i="1"/>
  <c r="F47" i="1"/>
  <c r="G47" i="1"/>
  <c r="I47" i="1"/>
  <c r="Q47" i="1"/>
  <c r="E48" i="1"/>
  <c r="F48" i="1"/>
  <c r="G48" i="1"/>
  <c r="J48" i="1"/>
  <c r="Q48" i="1"/>
  <c r="E49" i="1"/>
  <c r="F49" i="1"/>
  <c r="G49" i="1"/>
  <c r="K49" i="1"/>
  <c r="Q49" i="1"/>
  <c r="E50" i="1"/>
  <c r="F50" i="1"/>
  <c r="G50" i="1"/>
  <c r="K50" i="1"/>
  <c r="Q50" i="1"/>
  <c r="E51" i="1"/>
  <c r="F51" i="1"/>
  <c r="G51" i="1"/>
  <c r="K51" i="1"/>
  <c r="Q51" i="1"/>
  <c r="E52" i="1"/>
  <c r="F52" i="1"/>
  <c r="G52" i="1"/>
  <c r="K52" i="1"/>
  <c r="Q52" i="1"/>
  <c r="E53" i="1"/>
  <c r="F53" i="1"/>
  <c r="G53" i="1"/>
  <c r="K53" i="1"/>
  <c r="Q53" i="1"/>
  <c r="E54" i="1"/>
  <c r="F54" i="1"/>
  <c r="G54" i="1"/>
  <c r="K54" i="1"/>
  <c r="Q54" i="1"/>
  <c r="E55" i="1"/>
  <c r="F55" i="1"/>
  <c r="G55" i="1"/>
  <c r="K55" i="1"/>
  <c r="Q55" i="1"/>
  <c r="E56" i="1"/>
  <c r="F56" i="1"/>
  <c r="G56" i="1"/>
  <c r="J56" i="1"/>
  <c r="Q56" i="1"/>
  <c r="E57" i="1"/>
  <c r="F57" i="1"/>
  <c r="Q57" i="1"/>
  <c r="E58" i="1"/>
  <c r="F58" i="1"/>
  <c r="Q58" i="1"/>
  <c r="E59" i="1"/>
  <c r="F59" i="1"/>
  <c r="G59" i="1"/>
  <c r="K59" i="1"/>
  <c r="Q59" i="1"/>
  <c r="E60" i="1"/>
  <c r="F60" i="1"/>
  <c r="G60" i="1"/>
  <c r="K60" i="1"/>
  <c r="Q60" i="1"/>
  <c r="E61" i="1"/>
  <c r="F61" i="1"/>
  <c r="G61" i="1"/>
  <c r="K61" i="1"/>
  <c r="Q61" i="1"/>
  <c r="E62" i="1"/>
  <c r="F62" i="1"/>
  <c r="G62" i="1"/>
  <c r="K62" i="1"/>
  <c r="Q62" i="1"/>
  <c r="E63" i="1"/>
  <c r="F63" i="1"/>
  <c r="G63" i="1"/>
  <c r="K63" i="1"/>
  <c r="Q63" i="1"/>
  <c r="E64" i="1"/>
  <c r="F64" i="1"/>
  <c r="G64" i="1"/>
  <c r="K64" i="1"/>
  <c r="Q64" i="1"/>
  <c r="E65" i="1"/>
  <c r="F65" i="1"/>
  <c r="G65" i="1"/>
  <c r="K65" i="1"/>
  <c r="Q65" i="1"/>
  <c r="E66" i="1"/>
  <c r="F66" i="1"/>
  <c r="G66" i="1"/>
  <c r="K66" i="1"/>
  <c r="Q66" i="1"/>
  <c r="E67" i="1"/>
  <c r="F67" i="1"/>
  <c r="G67" i="1"/>
  <c r="K67" i="1"/>
  <c r="Q67" i="1"/>
  <c r="A11" i="2"/>
  <c r="B11" i="2"/>
  <c r="D11" i="2"/>
  <c r="G11" i="2"/>
  <c r="C11" i="2"/>
  <c r="E11" i="2"/>
  <c r="H11" i="2"/>
  <c r="A12" i="2"/>
  <c r="C12" i="2"/>
  <c r="E12" i="2"/>
  <c r="D12" i="2"/>
  <c r="G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A18" i="2"/>
  <c r="B18" i="2"/>
  <c r="C18" i="2"/>
  <c r="E18" i="2"/>
  <c r="D18" i="2"/>
  <c r="G18" i="2"/>
  <c r="H18" i="2"/>
  <c r="A19" i="2"/>
  <c r="B19" i="2"/>
  <c r="C19" i="2"/>
  <c r="E19" i="2"/>
  <c r="D19" i="2"/>
  <c r="G19" i="2"/>
  <c r="H19" i="2"/>
  <c r="A20" i="2"/>
  <c r="C20" i="2"/>
  <c r="E20" i="2"/>
  <c r="D20" i="2"/>
  <c r="G20" i="2"/>
  <c r="H20" i="2"/>
  <c r="B20" i="2"/>
  <c r="A21" i="2"/>
  <c r="B21" i="2"/>
  <c r="D21" i="2"/>
  <c r="G21" i="2"/>
  <c r="C21" i="2"/>
  <c r="E21" i="2"/>
  <c r="H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D24" i="2"/>
  <c r="G24" i="2"/>
  <c r="C24" i="2"/>
  <c r="E24" i="2"/>
  <c r="H24" i="2"/>
  <c r="B24" i="2"/>
  <c r="A25" i="2"/>
  <c r="D25" i="2"/>
  <c r="G25" i="2"/>
  <c r="C25" i="2"/>
  <c r="E25" i="2"/>
  <c r="H25" i="2"/>
  <c r="B25" i="2"/>
  <c r="A26" i="2"/>
  <c r="B26" i="2"/>
  <c r="C26" i="2"/>
  <c r="E26" i="2"/>
  <c r="D26" i="2"/>
  <c r="G26" i="2"/>
  <c r="H26" i="2"/>
  <c r="A27" i="2"/>
  <c r="B27" i="2"/>
  <c r="C27" i="2"/>
  <c r="E27" i="2"/>
  <c r="D27" i="2"/>
  <c r="G27" i="2"/>
  <c r="H27" i="2"/>
  <c r="A28" i="2"/>
  <c r="C28" i="2"/>
  <c r="E28" i="2"/>
  <c r="D28" i="2"/>
  <c r="G28" i="2"/>
  <c r="H28" i="2"/>
  <c r="B28" i="2"/>
  <c r="A29" i="2"/>
  <c r="B29" i="2"/>
  <c r="D29" i="2"/>
  <c r="G29" i="2"/>
  <c r="C29" i="2"/>
  <c r="E29" i="2"/>
  <c r="H29" i="2"/>
  <c r="A30" i="2"/>
  <c r="D30" i="2"/>
  <c r="G30" i="2"/>
  <c r="C30" i="2"/>
  <c r="E30" i="2"/>
  <c r="H30" i="2"/>
  <c r="B30" i="2"/>
  <c r="A31" i="2"/>
  <c r="D31" i="2"/>
  <c r="G31" i="2"/>
  <c r="C31" i="2"/>
  <c r="E31" i="2"/>
  <c r="H31" i="2"/>
  <c r="B31" i="2"/>
  <c r="A32" i="2"/>
  <c r="D32" i="2"/>
  <c r="G32" i="2"/>
  <c r="C32" i="2"/>
  <c r="E32" i="2"/>
  <c r="H32" i="2"/>
  <c r="B32" i="2"/>
  <c r="A33" i="2"/>
  <c r="B33" i="2"/>
  <c r="D33" i="2"/>
  <c r="G33" i="2"/>
  <c r="C33" i="2"/>
  <c r="E33" i="2"/>
  <c r="H33" i="2"/>
  <c r="A34" i="2"/>
  <c r="B34" i="2"/>
  <c r="C34" i="2"/>
  <c r="E34" i="2"/>
  <c r="D34" i="2"/>
  <c r="G34" i="2"/>
  <c r="H34" i="2"/>
  <c r="A35" i="2"/>
  <c r="B35" i="2"/>
  <c r="C35" i="2"/>
  <c r="E35" i="2"/>
  <c r="D35" i="2"/>
  <c r="G35" i="2"/>
  <c r="H35" i="2"/>
  <c r="A36" i="2"/>
  <c r="C36" i="2"/>
  <c r="E36" i="2"/>
  <c r="D36" i="2"/>
  <c r="G36" i="2"/>
  <c r="H36" i="2"/>
  <c r="B36" i="2"/>
  <c r="A37" i="2"/>
  <c r="B37" i="2"/>
  <c r="D37" i="2"/>
  <c r="G37" i="2"/>
  <c r="C37" i="2"/>
  <c r="E37" i="2"/>
  <c r="H37" i="2"/>
  <c r="A38" i="2"/>
  <c r="D38" i="2"/>
  <c r="G38" i="2"/>
  <c r="C38" i="2"/>
  <c r="E38" i="2"/>
  <c r="H38" i="2"/>
  <c r="B38" i="2"/>
  <c r="A39" i="2"/>
  <c r="D39" i="2"/>
  <c r="G39" i="2"/>
  <c r="C39" i="2"/>
  <c r="E39" i="2"/>
  <c r="H39" i="2"/>
  <c r="B39" i="2"/>
  <c r="A40" i="2"/>
  <c r="D40" i="2"/>
  <c r="G40" i="2"/>
  <c r="C40" i="2"/>
  <c r="E40" i="2"/>
  <c r="H40" i="2"/>
  <c r="B40" i="2"/>
  <c r="A41" i="2"/>
  <c r="B41" i="2"/>
  <c r="D41" i="2"/>
  <c r="G41" i="2"/>
  <c r="C41" i="2"/>
  <c r="E41" i="2"/>
  <c r="H41" i="2"/>
  <c r="A42" i="2"/>
  <c r="B42" i="2"/>
  <c r="C42" i="2"/>
  <c r="E42" i="2"/>
  <c r="D42" i="2"/>
  <c r="G42" i="2"/>
  <c r="H42" i="2"/>
  <c r="A43" i="2"/>
  <c r="B43" i="2"/>
  <c r="C43" i="2"/>
  <c r="E43" i="2"/>
  <c r="D43" i="2"/>
  <c r="G43" i="2"/>
  <c r="H43" i="2"/>
  <c r="A44" i="2"/>
  <c r="C44" i="2"/>
  <c r="E44" i="2"/>
  <c r="D44" i="2"/>
  <c r="G44" i="2"/>
  <c r="H44" i="2"/>
  <c r="B44" i="2"/>
  <c r="A45" i="2"/>
  <c r="B45" i="2"/>
  <c r="D45" i="2"/>
  <c r="G45" i="2"/>
  <c r="C45" i="2"/>
  <c r="E45" i="2"/>
  <c r="H45" i="2"/>
  <c r="A46" i="2"/>
  <c r="D46" i="2"/>
  <c r="G46" i="2"/>
  <c r="C46" i="2"/>
  <c r="E46" i="2"/>
  <c r="H46" i="2"/>
  <c r="B46" i="2"/>
  <c r="A47" i="2"/>
  <c r="D47" i="2"/>
  <c r="G47" i="2"/>
  <c r="C47" i="2"/>
  <c r="E47" i="2"/>
  <c r="H47" i="2"/>
  <c r="B47" i="2"/>
  <c r="A48" i="2"/>
  <c r="D48" i="2"/>
  <c r="G48" i="2"/>
  <c r="C48" i="2"/>
  <c r="E48" i="2"/>
  <c r="H48" i="2"/>
  <c r="B48" i="2"/>
  <c r="A49" i="2"/>
  <c r="B49" i="2"/>
  <c r="D49" i="2"/>
  <c r="G49" i="2"/>
  <c r="C49" i="2"/>
  <c r="E49" i="2"/>
  <c r="H49" i="2"/>
  <c r="A50" i="2"/>
  <c r="B50" i="2"/>
  <c r="C50" i="2"/>
  <c r="E50" i="2"/>
  <c r="D50" i="2"/>
  <c r="G50" i="2"/>
  <c r="H50" i="2"/>
  <c r="C12" i="1"/>
  <c r="C11" i="1"/>
  <c r="O37" i="1" l="1"/>
  <c r="O36" i="1"/>
  <c r="O33" i="1"/>
  <c r="O24" i="1"/>
  <c r="O29" i="1"/>
  <c r="O45" i="1"/>
  <c r="O49" i="1"/>
  <c r="O57" i="1"/>
  <c r="O48" i="1"/>
  <c r="O32" i="1"/>
  <c r="O54" i="1"/>
  <c r="O22" i="1"/>
  <c r="O56" i="1"/>
  <c r="O67" i="1"/>
  <c r="C15" i="1"/>
  <c r="O34" i="1"/>
  <c r="O23" i="1"/>
  <c r="O66" i="1"/>
  <c r="O65" i="1"/>
  <c r="O63" i="1"/>
  <c r="O46" i="1"/>
  <c r="O60" i="1"/>
  <c r="O39" i="1"/>
  <c r="O64" i="1"/>
  <c r="O25" i="1"/>
  <c r="O51" i="1"/>
  <c r="O21" i="1"/>
  <c r="O61" i="1"/>
  <c r="O28" i="1"/>
  <c r="O59" i="1"/>
  <c r="O52" i="1"/>
  <c r="O31" i="1"/>
  <c r="O41" i="1"/>
  <c r="O30" i="1"/>
  <c r="O50" i="1"/>
  <c r="O26" i="1"/>
  <c r="O47" i="1"/>
  <c r="O53" i="1"/>
  <c r="O40" i="1"/>
  <c r="O27" i="1"/>
  <c r="O62" i="1"/>
  <c r="O38" i="1"/>
  <c r="O55" i="1"/>
  <c r="O58" i="1"/>
  <c r="O35" i="1"/>
  <c r="O43" i="1"/>
  <c r="O42" i="1"/>
  <c r="O44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<sst xmlns="http://schemas.openxmlformats.org/spreadsheetml/2006/main" count="448" uniqueCount="227">
  <si>
    <t>BV Tau / GSC 01861-01567</t>
  </si>
  <si>
    <t>System Type:</t>
  </si>
  <si>
    <t>EB/KE:</t>
  </si>
  <si>
    <t>Eccentric orbit??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</si>
  <si>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</si>
  <si>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</si>
  <si>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</si>
  <si>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</si>
  <si>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</si>
  <si>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</si>
  <si>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</si>
  <si>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</si>
  <si>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</si>
  <si>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</si>
  <si>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</si>
  <si>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</si>
  <si>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</si>
  <si>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</si>
  <si>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</si>
  <si>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</si>
  <si>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</si>
  <si>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</si>
  <si>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</si>
  <si>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</si>
  <si>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</si>
  <si>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</si>
  <si>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</si>
  <si>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</si>
  <si>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</si>
  <si>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</si>
  <si>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</si>
  <si>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</si>
  <si>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</si>
  <si>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</si>
  <si>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</si>
  <si>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</si>
  <si>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</si>
  <si>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</si>
  <si>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</si>
  <si>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</si>
  <si>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</si>
  <si>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</si>
  <si>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</si>
  <si>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</si>
  <si>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MHAR 20.12 </t>
  </si>
  <si>
    <t>I</t>
  </si>
  <si>
    <t>Brelstaff 1986</t>
  </si>
  <si>
    <t> VSSC 60.23 </t>
  </si>
  <si>
    <t> VSSC 61.19 </t>
  </si>
  <si>
    <t>II</t>
  </si>
  <si>
    <t>GCVS 4</t>
  </si>
  <si>
    <t> VSSC 68.34 </t>
  </si>
  <si>
    <t> VSSC 72.27 </t>
  </si>
  <si>
    <t>IBVS 5378</t>
  </si>
  <si>
    <t>IBVS 5809 </t>
  </si>
  <si>
    <t>IBVS 5731</t>
  </si>
  <si>
    <t>OEJV 0074</t>
  </si>
  <si>
    <t>IBVS 5672</t>
  </si>
  <si>
    <t>IBVS 5761</t>
  </si>
  <si>
    <t>IBVS 5894</t>
  </si>
  <si>
    <t>IBVS 5920</t>
  </si>
  <si>
    <t>IBVS 5960</t>
  </si>
  <si>
    <t>IBVS 6149</t>
  </si>
  <si>
    <t>VSB 060</t>
  </si>
  <si>
    <t>V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</si>
  <si>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</si>
  <si>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</si>
  <si>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</si>
  <si>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</si>
  <si>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</si>
  <si>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</si>
  <si>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</si>
  <si>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2445014.27 </t>
  </si>
  <si>
    <t> 13.02.1982 18:28 </t>
  </si>
  <si>
    <t> 0.01 </t>
  </si>
  <si>
    <t>V </t>
  </si>
  <si>
    <t> T.Brelstaff </t>
  </si>
  <si>
    <t> JBAA 96.99 </t>
  </si>
  <si>
    <t>2445040.30 </t>
  </si>
  <si>
    <t> 11.03.1982 19:12 </t>
  </si>
  <si>
    <t> -0.01 </t>
  </si>
  <si>
    <t>2452550.9138 </t>
  </si>
  <si>
    <t> 03.10.2002 09:55 </t>
  </si>
  <si>
    <t> 0.0908 </t>
  </si>
  <si>
    <t>E </t>
  </si>
  <si>
    <t>?</t>
  </si>
  <si>
    <t> S.Dvorak </t>
  </si>
  <si>
    <t>IBVS 5378 </t>
  </si>
  <si>
    <t>2453387.3898 </t>
  </si>
  <si>
    <t> 16.01.2005 21:21 </t>
  </si>
  <si>
    <t> 0.1013 </t>
  </si>
  <si>
    <t>C </t>
  </si>
  <si>
    <t>-I</t>
  </si>
  <si>
    <t> Rätz </t>
  </si>
  <si>
    <t>BAVM 178 </t>
  </si>
  <si>
    <t>2453716.7693 </t>
  </si>
  <si>
    <t> 12.12.2005 06:27 </t>
  </si>
  <si>
    <t>8237</t>
  </si>
  <si>
    <t> 0.1050 </t>
  </si>
  <si>
    <t> R. Nelson </t>
  </si>
  <si>
    <t>IBVS 5672 </t>
  </si>
  <si>
    <t>2453750.26551 </t>
  </si>
  <si>
    <t> 14.01.2006 18:22 </t>
  </si>
  <si>
    <t>8273</t>
  </si>
  <si>
    <t> 0.10539 </t>
  </si>
  <si>
    <t>R</t>
  </si>
  <si>
    <t> L.Brát </t>
  </si>
  <si>
    <t>OEJV 0074 </t>
  </si>
  <si>
    <t>2454055.4514 </t>
  </si>
  <si>
    <t> 15.11.2006 22:50 </t>
  </si>
  <si>
    <t>8601</t>
  </si>
  <si>
    <t> 0.1070 </t>
  </si>
  <si>
    <t>o</t>
  </si>
  <si>
    <t> U. Schmidt </t>
  </si>
  <si>
    <t>BAVM 183 </t>
  </si>
  <si>
    <t>2454862.6214 </t>
  </si>
  <si>
    <t> 31.01.2009 02:54 </t>
  </si>
  <si>
    <t>9468.5</t>
  </si>
  <si>
    <t> 0.1203 </t>
  </si>
  <si>
    <t> R.Diethelm </t>
  </si>
  <si>
    <t>IBVS 5894 </t>
  </si>
  <si>
    <t>2455139.8956 </t>
  </si>
  <si>
    <t> 04.11.2009 09:29 </t>
  </si>
  <si>
    <t>9766.5</t>
  </si>
  <si>
    <t> 0.1233 </t>
  </si>
  <si>
    <t>IBVS 5920 </t>
  </si>
  <si>
    <t>2455527.8925 </t>
  </si>
  <si>
    <t> 27.11.2010 09:25 </t>
  </si>
  <si>
    <t>10183.5</t>
  </si>
  <si>
    <t> 0.1268 </t>
  </si>
  <si>
    <t>IBVS 5960 </t>
  </si>
  <si>
    <t>2456725.4061 </t>
  </si>
  <si>
    <t> 08.03.2014 21:44 </t>
  </si>
  <si>
    <t>11470.5</t>
  </si>
  <si>
    <t> 0.1641 </t>
  </si>
  <si>
    <t> U.Schmidt </t>
  </si>
  <si>
    <t>BAVM 238 </t>
  </si>
  <si>
    <t>2436904.437 </t>
  </si>
  <si>
    <t> 01.12.1959 22:29 </t>
  </si>
  <si>
    <t> -0.107 </t>
  </si>
  <si>
    <t>P </t>
  </si>
  <si>
    <t> T.Berthold </t>
  </si>
  <si>
    <t>2436957.403 </t>
  </si>
  <si>
    <t> 23.01.1960 21:40 </t>
  </si>
  <si>
    <t> -0.176 </t>
  </si>
  <si>
    <t>2437319.386 </t>
  </si>
  <si>
    <t> 19.01.1961 21:15 </t>
  </si>
  <si>
    <t> -0.134 </t>
  </si>
  <si>
    <t>2437346.374 </t>
  </si>
  <si>
    <t> 15.02.1961 20:58 </t>
  </si>
  <si>
    <t> -0.129 </t>
  </si>
  <si>
    <t>2439056.531 </t>
  </si>
  <si>
    <t> 23.10.1965 00:44 </t>
  </si>
  <si>
    <t> -0.121 </t>
  </si>
  <si>
    <t>2439179.351 </t>
  </si>
  <si>
    <t> 22.02.1966 20:25 </t>
  </si>
  <si>
    <t> -0.119 </t>
  </si>
  <si>
    <t>2442069.322 </t>
  </si>
  <si>
    <t> 21.01.1974 19:43 </t>
  </si>
  <si>
    <t> -0.094 </t>
  </si>
  <si>
    <t>2443192.391 </t>
  </si>
  <si>
    <t> 17.02.1977 21:23 </t>
  </si>
  <si>
    <t> -0.066 </t>
  </si>
  <si>
    <t>2445044.948 </t>
  </si>
  <si>
    <t> 16.03.1982 10:45 </t>
  </si>
  <si>
    <t> -0.015 </t>
  </si>
  <si>
    <t>2445053.316 </t>
  </si>
  <si>
    <t> 24.03.1982 19:35 </t>
  </si>
  <si>
    <t> -0.021 </t>
  </si>
  <si>
    <t>2445079.373 </t>
  </si>
  <si>
    <t> 19.04.1982 20:57 </t>
  </si>
  <si>
    <t> -0.017 </t>
  </si>
  <si>
    <t>2445414.323 </t>
  </si>
  <si>
    <t> 20.03.1983 19:45 </t>
  </si>
  <si>
    <t> -0.025 </t>
  </si>
  <si>
    <t>2445436.199 </t>
  </si>
  <si>
    <t> 11.04.1983 16:46 </t>
  </si>
  <si>
    <t>2445436.655 </t>
  </si>
  <si>
    <t> 12.04.1983 03:43 </t>
  </si>
  <si>
    <t> -0.024 </t>
  </si>
  <si>
    <t>2445440.368 </t>
  </si>
  <si>
    <t> 15.04.1983 20:49 </t>
  </si>
  <si>
    <t> -0.032 </t>
  </si>
  <si>
    <t>2445815.392 </t>
  </si>
  <si>
    <t> 24.04.1984 21:24 </t>
  </si>
  <si>
    <t> 0.024 </t>
  </si>
  <si>
    <t>2446052.633 </t>
  </si>
  <si>
    <t> 18.12.1984 03:11 </t>
  </si>
  <si>
    <t> 0.003 </t>
  </si>
  <si>
    <t>2446109.393 </t>
  </si>
  <si>
    <t> 12.02.1985 21:25 </t>
  </si>
  <si>
    <t> 0.006 </t>
  </si>
  <si>
    <t>2446135.440 </t>
  </si>
  <si>
    <t> 10.03.1985 22:33 </t>
  </si>
  <si>
    <t> 0.001 </t>
  </si>
  <si>
    <t>2446136.374 </t>
  </si>
  <si>
    <t> 11.03.1985 20:58 </t>
  </si>
  <si>
    <t> 0.004 </t>
  </si>
  <si>
    <t>2446444.370 </t>
  </si>
  <si>
    <t> 13.01.1986 20:52 </t>
  </si>
  <si>
    <t> 0.025 </t>
  </si>
  <si>
    <t>2447206.366 </t>
  </si>
  <si>
    <t> 14.02.1988 20:47 </t>
  </si>
  <si>
    <t> -0.010 </t>
  </si>
  <si>
    <t> G.Kirby </t>
  </si>
  <si>
    <t>2452679.3175 </t>
  </si>
  <si>
    <t> 08.02.2003 19:37 </t>
  </si>
  <si>
    <t> 0.0938 </t>
  </si>
  <si>
    <t> P.Sobotka (ESA INTEGRAL) </t>
  </si>
  <si>
    <t>2452679.7755 </t>
  </si>
  <si>
    <t> 09.02.2003 06:36 </t>
  </si>
  <si>
    <t> 0.0866 </t>
  </si>
  <si>
    <t>2452680.2469 </t>
  </si>
  <si>
    <t> 09.02.2003 17:55 </t>
  </si>
  <si>
    <t> 0.0928 </t>
  </si>
  <si>
    <t>2452681.176 </t>
  </si>
  <si>
    <t> 10.02.2003 16:13 </t>
  </si>
  <si>
    <t> 0.091 </t>
  </si>
  <si>
    <t>2452681.6333 </t>
  </si>
  <si>
    <t> 11.02.2003 03:11 </t>
  </si>
  <si>
    <t> 0.0835 </t>
  </si>
  <si>
    <t>2452688.6214 </t>
  </si>
  <si>
    <t> 18.02.2003 02:54 </t>
  </si>
  <si>
    <t> 0.0933 </t>
  </si>
  <si>
    <t>2452690.478 </t>
  </si>
  <si>
    <t> 19.02.2003 23:28 </t>
  </si>
  <si>
    <t> 0.089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</si>
</sst>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7" formatCode="dd/mm/yyyy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" fillId="0" borderId="0"/>
  </cellStyleXfs>
  <cellXfs count="62">
    <xf numFmtId="0" fontId="0" fillId="0" borderId="0" xfId="0">
      <alignment vertical="top"/>
    </xf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NumberFormat="1" applyFont="1" applyAlignment="1">
      <alignment horizontal="left" vertical="center" wrapText="1"/>
    </xf>
    <xf numFmtId="0" fontId="10" fillId="0" borderId="0" xfId="0" applyFont="1">
      <alignment vertical="top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1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12" fillId="0" borderId="0" xfId="6" applyFont="1" applyAlignment="1">
      <alignment horizontal="left"/>
    </xf>
    <xf numFmtId="0" fontId="12" fillId="0" borderId="0" xfId="6" applyFont="1" applyAlignment="1">
      <alignment horizontal="center"/>
    </xf>
    <xf numFmtId="0" fontId="12" fillId="0" borderId="0" xfId="6" applyFont="1"/>
    <xf numFmtId="0" fontId="14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15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10" fillId="2" borderId="10" xfId="0" applyFont="1" applyFill="1" applyBorder="1" applyAlignment="1">
      <alignment horizontal="left" vertical="top" wrapText="1" inden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right" vertical="top" wrapText="1"/>
    </xf>
    <xf numFmtId="0" fontId="15" fillId="2" borderId="10" xfId="5" applyNumberFormat="1" applyFont="1" applyFill="1" applyBorder="1" applyAlignment="1" applyProtection="1">
      <alignment horizontal="right" vertical="top" wrapText="1"/>
    </xf>
    <xf numFmtId="167" fontId="0" fillId="0" borderId="0" xfId="0" applyNumberFormat="1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7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</cellXfs>
  <cellStyles count="7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BV Tau - O-C Diagr.</a:t>
            </a:r>
          </a:p>
        </c:rich>
      </c:tx>
      <c:layout>
        <c:manualLayout>
          <c:xMode val="edge"/>
          <c:yMode val="edge"/>
          <c:x val="0.36774193548387096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50537634408602"/>
          <c:y val="0.142264413210031"/>
          <c:w val="0.77365591397849465"/>
          <c:h val="0.6334388108028553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Active!$F$21:$F$670</c:f>
              <c:numCache>
                <c:formatCode>General</c:formatCode>
                <c:ptCount val="650"/>
                <c:pt idx="0">
                  <c:v>-9832</c:v>
                </c:pt>
                <c:pt idx="1">
                  <c:v>-9775</c:v>
                </c:pt>
                <c:pt idx="2">
                  <c:v>-9386</c:v>
                </c:pt>
                <c:pt idx="3">
                  <c:v>-9357</c:v>
                </c:pt>
                <c:pt idx="4">
                  <c:v>-7519</c:v>
                </c:pt>
                <c:pt idx="5">
                  <c:v>-7387</c:v>
                </c:pt>
                <c:pt idx="6">
                  <c:v>-4281</c:v>
                </c:pt>
                <c:pt idx="7">
                  <c:v>-3074</c:v>
                </c:pt>
                <c:pt idx="8">
                  <c:v>-1116</c:v>
                </c:pt>
                <c:pt idx="9">
                  <c:v>-1088</c:v>
                </c:pt>
                <c:pt idx="10">
                  <c:v>-1083</c:v>
                </c:pt>
                <c:pt idx="11">
                  <c:v>-1078.5</c:v>
                </c:pt>
                <c:pt idx="12">
                  <c:v>-1074</c:v>
                </c:pt>
                <c:pt idx="13">
                  <c:v>-1074</c:v>
                </c:pt>
                <c:pt idx="14">
                  <c:v>-1046</c:v>
                </c:pt>
                <c:pt idx="15">
                  <c:v>-686</c:v>
                </c:pt>
                <c:pt idx="16">
                  <c:v>-662.5</c:v>
                </c:pt>
                <c:pt idx="17">
                  <c:v>-662</c:v>
                </c:pt>
                <c:pt idx="18">
                  <c:v>-658</c:v>
                </c:pt>
                <c:pt idx="19">
                  <c:v>-255</c:v>
                </c:pt>
                <c:pt idx="20">
                  <c:v>0</c:v>
                </c:pt>
                <c:pt idx="21">
                  <c:v>0</c:v>
                </c:pt>
                <c:pt idx="22">
                  <c:v>61</c:v>
                </c:pt>
                <c:pt idx="23">
                  <c:v>89</c:v>
                </c:pt>
                <c:pt idx="24">
                  <c:v>90</c:v>
                </c:pt>
                <c:pt idx="25">
                  <c:v>421</c:v>
                </c:pt>
                <c:pt idx="26">
                  <c:v>1240</c:v>
                </c:pt>
                <c:pt idx="27">
                  <c:v>6984</c:v>
                </c:pt>
                <c:pt idx="28">
                  <c:v>7122</c:v>
                </c:pt>
                <c:pt idx="29">
                  <c:v>7122.5</c:v>
                </c:pt>
                <c:pt idx="30">
                  <c:v>7123</c:v>
                </c:pt>
                <c:pt idx="31">
                  <c:v>7124</c:v>
                </c:pt>
                <c:pt idx="32">
                  <c:v>7124.5</c:v>
                </c:pt>
                <c:pt idx="33">
                  <c:v>7132</c:v>
                </c:pt>
                <c:pt idx="34">
                  <c:v>7134</c:v>
                </c:pt>
                <c:pt idx="35">
                  <c:v>7883</c:v>
                </c:pt>
                <c:pt idx="36">
                  <c:v>7959.5</c:v>
                </c:pt>
                <c:pt idx="37">
                  <c:v>8190.5</c:v>
                </c:pt>
                <c:pt idx="38">
                  <c:v>8237</c:v>
                </c:pt>
                <c:pt idx="39">
                  <c:v>8273</c:v>
                </c:pt>
                <c:pt idx="40">
                  <c:v>8601</c:v>
                </c:pt>
                <c:pt idx="41">
                  <c:v>9468.5</c:v>
                </c:pt>
                <c:pt idx="42">
                  <c:v>9766.5</c:v>
                </c:pt>
                <c:pt idx="43">
                  <c:v>10183.5</c:v>
                </c:pt>
                <c:pt idx="44">
                  <c:v>11470.5</c:v>
                </c:pt>
                <c:pt idx="45">
                  <c:v>12179.5</c:v>
                </c:pt>
                <c:pt idx="46">
                  <c:v>13032</c:v>
                </c:pt>
              </c:numCache>
            </c:numRef>
          </c:xVal>
          <c:yVal>
            <c:numRef>
              <c:f>Active!$H$21:$H$670</c:f>
              <c:numCache>
                <c:formatCode>General</c:formatCode>
                <c:ptCount val="650"/>
                <c:pt idx="0">
                  <c:v>-0.10691999999835389</c:v>
                </c:pt>
                <c:pt idx="1">
                  <c:v>-0.17599999999947613</c:v>
                </c:pt>
                <c:pt idx="2">
                  <c:v>-0.13416000000142958</c:v>
                </c:pt>
                <c:pt idx="3">
                  <c:v>-0.12891999999555992</c:v>
                </c:pt>
                <c:pt idx="4">
                  <c:v>-0.12063999999372754</c:v>
                </c:pt>
                <c:pt idx="5">
                  <c:v>-0.11871999999129912</c:v>
                </c:pt>
                <c:pt idx="6">
                  <c:v>-9.435999999550404E-2</c:v>
                </c:pt>
                <c:pt idx="7">
                  <c:v>-6.6439999995054677E-2</c:v>
                </c:pt>
                <c:pt idx="8">
                  <c:v>1.1039999997592531E-2</c:v>
                </c:pt>
                <c:pt idx="9">
                  <c:v>-1.1279999991529621E-2</c:v>
                </c:pt>
                <c:pt idx="10">
                  <c:v>-1.5480000001844019E-2</c:v>
                </c:pt>
                <c:pt idx="11">
                  <c:v>0</c:v>
                </c:pt>
                <c:pt idx="12">
                  <c:v>-2.1439999996800907E-2</c:v>
                </c:pt>
                <c:pt idx="13">
                  <c:v>-1.7439999995986E-2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83-45B8-9743-8B67C6A05DF1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Active!$F$21:$F$670</c:f>
              <c:numCache>
                <c:formatCode>General</c:formatCode>
                <c:ptCount val="650"/>
                <c:pt idx="0">
                  <c:v>-9832</c:v>
                </c:pt>
                <c:pt idx="1">
                  <c:v>-9775</c:v>
                </c:pt>
                <c:pt idx="2">
                  <c:v>-9386</c:v>
                </c:pt>
                <c:pt idx="3">
                  <c:v>-9357</c:v>
                </c:pt>
                <c:pt idx="4">
                  <c:v>-7519</c:v>
                </c:pt>
                <c:pt idx="5">
                  <c:v>-7387</c:v>
                </c:pt>
                <c:pt idx="6">
                  <c:v>-4281</c:v>
                </c:pt>
                <c:pt idx="7">
                  <c:v>-3074</c:v>
                </c:pt>
                <c:pt idx="8">
                  <c:v>-1116</c:v>
                </c:pt>
                <c:pt idx="9">
                  <c:v>-1088</c:v>
                </c:pt>
                <c:pt idx="10">
                  <c:v>-1083</c:v>
                </c:pt>
                <c:pt idx="11">
                  <c:v>-1078.5</c:v>
                </c:pt>
                <c:pt idx="12">
                  <c:v>-1074</c:v>
                </c:pt>
                <c:pt idx="13">
                  <c:v>-1074</c:v>
                </c:pt>
                <c:pt idx="14">
                  <c:v>-1046</c:v>
                </c:pt>
                <c:pt idx="15">
                  <c:v>-686</c:v>
                </c:pt>
                <c:pt idx="16">
                  <c:v>-662.5</c:v>
                </c:pt>
                <c:pt idx="17">
                  <c:v>-662</c:v>
                </c:pt>
                <c:pt idx="18">
                  <c:v>-658</c:v>
                </c:pt>
                <c:pt idx="19">
                  <c:v>-255</c:v>
                </c:pt>
                <c:pt idx="20">
                  <c:v>0</c:v>
                </c:pt>
                <c:pt idx="21">
                  <c:v>0</c:v>
                </c:pt>
                <c:pt idx="22">
                  <c:v>61</c:v>
                </c:pt>
                <c:pt idx="23">
                  <c:v>89</c:v>
                </c:pt>
                <c:pt idx="24">
                  <c:v>90</c:v>
                </c:pt>
                <c:pt idx="25">
                  <c:v>421</c:v>
                </c:pt>
                <c:pt idx="26">
                  <c:v>1240</c:v>
                </c:pt>
                <c:pt idx="27">
                  <c:v>6984</c:v>
                </c:pt>
                <c:pt idx="28">
                  <c:v>7122</c:v>
                </c:pt>
                <c:pt idx="29">
                  <c:v>7122.5</c:v>
                </c:pt>
                <c:pt idx="30">
                  <c:v>7123</c:v>
                </c:pt>
                <c:pt idx="31">
                  <c:v>7124</c:v>
                </c:pt>
                <c:pt idx="32">
                  <c:v>7124.5</c:v>
                </c:pt>
                <c:pt idx="33">
                  <c:v>7132</c:v>
                </c:pt>
                <c:pt idx="34">
                  <c:v>7134</c:v>
                </c:pt>
                <c:pt idx="35">
                  <c:v>7883</c:v>
                </c:pt>
                <c:pt idx="36">
                  <c:v>7959.5</c:v>
                </c:pt>
                <c:pt idx="37">
                  <c:v>8190.5</c:v>
                </c:pt>
                <c:pt idx="38">
                  <c:v>8237</c:v>
                </c:pt>
                <c:pt idx="39">
                  <c:v>8273</c:v>
                </c:pt>
                <c:pt idx="40">
                  <c:v>8601</c:v>
                </c:pt>
                <c:pt idx="41">
                  <c:v>9468.5</c:v>
                </c:pt>
                <c:pt idx="42">
                  <c:v>9766.5</c:v>
                </c:pt>
                <c:pt idx="43">
                  <c:v>10183.5</c:v>
                </c:pt>
                <c:pt idx="44">
                  <c:v>11470.5</c:v>
                </c:pt>
                <c:pt idx="45">
                  <c:v>12179.5</c:v>
                </c:pt>
                <c:pt idx="46">
                  <c:v>13032</c:v>
                </c:pt>
              </c:numCache>
            </c:numRef>
          </c:xVal>
          <c:yVal>
            <c:numRef>
              <c:f>Active!$I$21:$I$670</c:f>
              <c:numCache>
                <c:formatCode>General</c:formatCode>
                <c:ptCount val="650"/>
                <c:pt idx="14">
                  <c:v>-1.6759999998612329E-2</c:v>
                </c:pt>
                <c:pt idx="15">
                  <c:v>-2.5159999997413252E-2</c:v>
                </c:pt>
                <c:pt idx="16">
                  <c:v>-1.4499999997497071E-2</c:v>
                </c:pt>
                <c:pt idx="17">
                  <c:v>-2.3719999997410923E-2</c:v>
                </c:pt>
                <c:pt idx="18">
                  <c:v>-3.2479999994393438E-2</c:v>
                </c:pt>
                <c:pt idx="19">
                  <c:v>2.4199999999837019E-2</c:v>
                </c:pt>
                <c:pt idx="21">
                  <c:v>3.0000000042491592E-3</c:v>
                </c:pt>
                <c:pt idx="22">
                  <c:v>6.1599999971804209E-3</c:v>
                </c:pt>
                <c:pt idx="23">
                  <c:v>8.4000000788364559E-4</c:v>
                </c:pt>
                <c:pt idx="24">
                  <c:v>4.4000000052619725E-3</c:v>
                </c:pt>
                <c:pt idx="25">
                  <c:v>2.4760000007518101E-2</c:v>
                </c:pt>
                <c:pt idx="26">
                  <c:v>-9.5999999975902028E-3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83-45B8-9743-8B67C6A05DF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Active!$F$21:$F$670</c:f>
              <c:numCache>
                <c:formatCode>General</c:formatCode>
                <c:ptCount val="650"/>
                <c:pt idx="0">
                  <c:v>-9832</c:v>
                </c:pt>
                <c:pt idx="1">
                  <c:v>-9775</c:v>
                </c:pt>
                <c:pt idx="2">
                  <c:v>-9386</c:v>
                </c:pt>
                <c:pt idx="3">
                  <c:v>-9357</c:v>
                </c:pt>
                <c:pt idx="4">
                  <c:v>-7519</c:v>
                </c:pt>
                <c:pt idx="5">
                  <c:v>-7387</c:v>
                </c:pt>
                <c:pt idx="6">
                  <c:v>-4281</c:v>
                </c:pt>
                <c:pt idx="7">
                  <c:v>-3074</c:v>
                </c:pt>
                <c:pt idx="8">
                  <c:v>-1116</c:v>
                </c:pt>
                <c:pt idx="9">
                  <c:v>-1088</c:v>
                </c:pt>
                <c:pt idx="10">
                  <c:v>-1083</c:v>
                </c:pt>
                <c:pt idx="11">
                  <c:v>-1078.5</c:v>
                </c:pt>
                <c:pt idx="12">
                  <c:v>-1074</c:v>
                </c:pt>
                <c:pt idx="13">
                  <c:v>-1074</c:v>
                </c:pt>
                <c:pt idx="14">
                  <c:v>-1046</c:v>
                </c:pt>
                <c:pt idx="15">
                  <c:v>-686</c:v>
                </c:pt>
                <c:pt idx="16">
                  <c:v>-662.5</c:v>
                </c:pt>
                <c:pt idx="17">
                  <c:v>-662</c:v>
                </c:pt>
                <c:pt idx="18">
                  <c:v>-658</c:v>
                </c:pt>
                <c:pt idx="19">
                  <c:v>-255</c:v>
                </c:pt>
                <c:pt idx="20">
                  <c:v>0</c:v>
                </c:pt>
                <c:pt idx="21">
                  <c:v>0</c:v>
                </c:pt>
                <c:pt idx="22">
                  <c:v>61</c:v>
                </c:pt>
                <c:pt idx="23">
                  <c:v>89</c:v>
                </c:pt>
                <c:pt idx="24">
                  <c:v>90</c:v>
                </c:pt>
                <c:pt idx="25">
                  <c:v>421</c:v>
                </c:pt>
                <c:pt idx="26">
                  <c:v>1240</c:v>
                </c:pt>
                <c:pt idx="27">
                  <c:v>6984</c:v>
                </c:pt>
                <c:pt idx="28">
                  <c:v>7122</c:v>
                </c:pt>
                <c:pt idx="29">
                  <c:v>7122.5</c:v>
                </c:pt>
                <c:pt idx="30">
                  <c:v>7123</c:v>
                </c:pt>
                <c:pt idx="31">
                  <c:v>7124</c:v>
                </c:pt>
                <c:pt idx="32">
                  <c:v>7124.5</c:v>
                </c:pt>
                <c:pt idx="33">
                  <c:v>7132</c:v>
                </c:pt>
                <c:pt idx="34">
                  <c:v>7134</c:v>
                </c:pt>
                <c:pt idx="35">
                  <c:v>7883</c:v>
                </c:pt>
                <c:pt idx="36">
                  <c:v>7959.5</c:v>
                </c:pt>
                <c:pt idx="37">
                  <c:v>8190.5</c:v>
                </c:pt>
                <c:pt idx="38">
                  <c:v>8237</c:v>
                </c:pt>
                <c:pt idx="39">
                  <c:v>8273</c:v>
                </c:pt>
                <c:pt idx="40">
                  <c:v>8601</c:v>
                </c:pt>
                <c:pt idx="41">
                  <c:v>9468.5</c:v>
                </c:pt>
                <c:pt idx="42">
                  <c:v>9766.5</c:v>
                </c:pt>
                <c:pt idx="43">
                  <c:v>10183.5</c:v>
                </c:pt>
                <c:pt idx="44">
                  <c:v>11470.5</c:v>
                </c:pt>
                <c:pt idx="45">
                  <c:v>12179.5</c:v>
                </c:pt>
                <c:pt idx="46">
                  <c:v>13032</c:v>
                </c:pt>
              </c:numCache>
            </c:numRef>
          </c:xVal>
          <c:yVal>
            <c:numRef>
              <c:f>Active!$J$21:$J$670</c:f>
              <c:numCache>
                <c:formatCode>General</c:formatCode>
                <c:ptCount val="650"/>
                <c:pt idx="27">
                  <c:v>9.0840000004391186E-2</c:v>
                </c:pt>
                <c:pt idx="35">
                  <c:v>0.10128000000258908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83-45B8-9743-8B67C6A05DF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Active!$F$21:$F$670</c:f>
              <c:numCache>
                <c:formatCode>General</c:formatCode>
                <c:ptCount val="650"/>
                <c:pt idx="0">
                  <c:v>-9832</c:v>
                </c:pt>
                <c:pt idx="1">
                  <c:v>-9775</c:v>
                </c:pt>
                <c:pt idx="2">
                  <c:v>-9386</c:v>
                </c:pt>
                <c:pt idx="3">
                  <c:v>-9357</c:v>
                </c:pt>
                <c:pt idx="4">
                  <c:v>-7519</c:v>
                </c:pt>
                <c:pt idx="5">
                  <c:v>-7387</c:v>
                </c:pt>
                <c:pt idx="6">
                  <c:v>-4281</c:v>
                </c:pt>
                <c:pt idx="7">
                  <c:v>-3074</c:v>
                </c:pt>
                <c:pt idx="8">
                  <c:v>-1116</c:v>
                </c:pt>
                <c:pt idx="9">
                  <c:v>-1088</c:v>
                </c:pt>
                <c:pt idx="10">
                  <c:v>-1083</c:v>
                </c:pt>
                <c:pt idx="11">
                  <c:v>-1078.5</c:v>
                </c:pt>
                <c:pt idx="12">
                  <c:v>-1074</c:v>
                </c:pt>
                <c:pt idx="13">
                  <c:v>-1074</c:v>
                </c:pt>
                <c:pt idx="14">
                  <c:v>-1046</c:v>
                </c:pt>
                <c:pt idx="15">
                  <c:v>-686</c:v>
                </c:pt>
                <c:pt idx="16">
                  <c:v>-662.5</c:v>
                </c:pt>
                <c:pt idx="17">
                  <c:v>-662</c:v>
                </c:pt>
                <c:pt idx="18">
                  <c:v>-658</c:v>
                </c:pt>
                <c:pt idx="19">
                  <c:v>-255</c:v>
                </c:pt>
                <c:pt idx="20">
                  <c:v>0</c:v>
                </c:pt>
                <c:pt idx="21">
                  <c:v>0</c:v>
                </c:pt>
                <c:pt idx="22">
                  <c:v>61</c:v>
                </c:pt>
                <c:pt idx="23">
                  <c:v>89</c:v>
                </c:pt>
                <c:pt idx="24">
                  <c:v>90</c:v>
                </c:pt>
                <c:pt idx="25">
                  <c:v>421</c:v>
                </c:pt>
                <c:pt idx="26">
                  <c:v>1240</c:v>
                </c:pt>
                <c:pt idx="27">
                  <c:v>6984</c:v>
                </c:pt>
                <c:pt idx="28">
                  <c:v>7122</c:v>
                </c:pt>
                <c:pt idx="29">
                  <c:v>7122.5</c:v>
                </c:pt>
                <c:pt idx="30">
                  <c:v>7123</c:v>
                </c:pt>
                <c:pt idx="31">
                  <c:v>7124</c:v>
                </c:pt>
                <c:pt idx="32">
                  <c:v>7124.5</c:v>
                </c:pt>
                <c:pt idx="33">
                  <c:v>7132</c:v>
                </c:pt>
                <c:pt idx="34">
                  <c:v>7134</c:v>
                </c:pt>
                <c:pt idx="35">
                  <c:v>7883</c:v>
                </c:pt>
                <c:pt idx="36">
                  <c:v>7959.5</c:v>
                </c:pt>
                <c:pt idx="37">
                  <c:v>8190.5</c:v>
                </c:pt>
                <c:pt idx="38">
                  <c:v>8237</c:v>
                </c:pt>
                <c:pt idx="39">
                  <c:v>8273</c:v>
                </c:pt>
                <c:pt idx="40">
                  <c:v>8601</c:v>
                </c:pt>
                <c:pt idx="41">
                  <c:v>9468.5</c:v>
                </c:pt>
                <c:pt idx="42">
                  <c:v>9766.5</c:v>
                </c:pt>
                <c:pt idx="43">
                  <c:v>10183.5</c:v>
                </c:pt>
                <c:pt idx="44">
                  <c:v>11470.5</c:v>
                </c:pt>
                <c:pt idx="45">
                  <c:v>12179.5</c:v>
                </c:pt>
                <c:pt idx="46">
                  <c:v>13032</c:v>
                </c:pt>
              </c:numCache>
            </c:numRef>
          </c:xVal>
          <c:yVal>
            <c:numRef>
              <c:f>Active!$K$21:$K$670</c:f>
              <c:numCache>
                <c:formatCode>General</c:formatCode>
                <c:ptCount val="650"/>
                <c:pt idx="28">
                  <c:v>9.382000000186963E-2</c:v>
                </c:pt>
                <c:pt idx="29">
                  <c:v>8.6600000009639189E-2</c:v>
                </c:pt>
                <c:pt idx="30">
                  <c:v>9.2779999999038409E-2</c:v>
                </c:pt>
                <c:pt idx="31">
                  <c:v>9.1440000003785826E-2</c:v>
                </c:pt>
                <c:pt idx="32">
                  <c:v>8.3520000000135042E-2</c:v>
                </c:pt>
                <c:pt idx="33">
                  <c:v>9.3320000007224735E-2</c:v>
                </c:pt>
                <c:pt idx="34">
                  <c:v>8.9040000006207265E-2</c:v>
                </c:pt>
                <c:pt idx="38">
                  <c:v>0.10502000000269618</c:v>
                </c:pt>
                <c:pt idx="39">
                  <c:v>0.10538999999698717</c:v>
                </c:pt>
                <c:pt idx="40">
                  <c:v>0.1069599999973434</c:v>
                </c:pt>
                <c:pt idx="41">
                  <c:v>0.12026000000332715</c:v>
                </c:pt>
                <c:pt idx="42">
                  <c:v>0.12334000000555534</c:v>
                </c:pt>
                <c:pt idx="43">
                  <c:v>0.12676000000647036</c:v>
                </c:pt>
                <c:pt idx="44">
                  <c:v>0.1640800000022864</c:v>
                </c:pt>
                <c:pt idx="45">
                  <c:v>0.15161999999691034</c:v>
                </c:pt>
                <c:pt idx="46">
                  <c:v>0.16086999977414962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83-45B8-9743-8B67C6A05DF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Active!$F$21:$F$670</c:f>
              <c:numCache>
                <c:formatCode>General</c:formatCode>
                <c:ptCount val="650"/>
                <c:pt idx="0">
                  <c:v>-9832</c:v>
                </c:pt>
                <c:pt idx="1">
                  <c:v>-9775</c:v>
                </c:pt>
                <c:pt idx="2">
                  <c:v>-9386</c:v>
                </c:pt>
                <c:pt idx="3">
                  <c:v>-9357</c:v>
                </c:pt>
                <c:pt idx="4">
                  <c:v>-7519</c:v>
                </c:pt>
                <c:pt idx="5">
                  <c:v>-7387</c:v>
                </c:pt>
                <c:pt idx="6">
                  <c:v>-4281</c:v>
                </c:pt>
                <c:pt idx="7">
                  <c:v>-3074</c:v>
                </c:pt>
                <c:pt idx="8">
                  <c:v>-1116</c:v>
                </c:pt>
                <c:pt idx="9">
                  <c:v>-1088</c:v>
                </c:pt>
                <c:pt idx="10">
                  <c:v>-1083</c:v>
                </c:pt>
                <c:pt idx="11">
                  <c:v>-1078.5</c:v>
                </c:pt>
                <c:pt idx="12">
                  <c:v>-1074</c:v>
                </c:pt>
                <c:pt idx="13">
                  <c:v>-1074</c:v>
                </c:pt>
                <c:pt idx="14">
                  <c:v>-1046</c:v>
                </c:pt>
                <c:pt idx="15">
                  <c:v>-686</c:v>
                </c:pt>
                <c:pt idx="16">
                  <c:v>-662.5</c:v>
                </c:pt>
                <c:pt idx="17">
                  <c:v>-662</c:v>
                </c:pt>
                <c:pt idx="18">
                  <c:v>-658</c:v>
                </c:pt>
                <c:pt idx="19">
                  <c:v>-255</c:v>
                </c:pt>
                <c:pt idx="20">
                  <c:v>0</c:v>
                </c:pt>
                <c:pt idx="21">
                  <c:v>0</c:v>
                </c:pt>
                <c:pt idx="22">
                  <c:v>61</c:v>
                </c:pt>
                <c:pt idx="23">
                  <c:v>89</c:v>
                </c:pt>
                <c:pt idx="24">
                  <c:v>90</c:v>
                </c:pt>
                <c:pt idx="25">
                  <c:v>421</c:v>
                </c:pt>
                <c:pt idx="26">
                  <c:v>1240</c:v>
                </c:pt>
                <c:pt idx="27">
                  <c:v>6984</c:v>
                </c:pt>
                <c:pt idx="28">
                  <c:v>7122</c:v>
                </c:pt>
                <c:pt idx="29">
                  <c:v>7122.5</c:v>
                </c:pt>
                <c:pt idx="30">
                  <c:v>7123</c:v>
                </c:pt>
                <c:pt idx="31">
                  <c:v>7124</c:v>
                </c:pt>
                <c:pt idx="32">
                  <c:v>7124.5</c:v>
                </c:pt>
                <c:pt idx="33">
                  <c:v>7132</c:v>
                </c:pt>
                <c:pt idx="34">
                  <c:v>7134</c:v>
                </c:pt>
                <c:pt idx="35">
                  <c:v>7883</c:v>
                </c:pt>
                <c:pt idx="36">
                  <c:v>7959.5</c:v>
                </c:pt>
                <c:pt idx="37">
                  <c:v>8190.5</c:v>
                </c:pt>
                <c:pt idx="38">
                  <c:v>8237</c:v>
                </c:pt>
                <c:pt idx="39">
                  <c:v>8273</c:v>
                </c:pt>
                <c:pt idx="40">
                  <c:v>8601</c:v>
                </c:pt>
                <c:pt idx="41">
                  <c:v>9468.5</c:v>
                </c:pt>
                <c:pt idx="42">
                  <c:v>9766.5</c:v>
                </c:pt>
                <c:pt idx="43">
                  <c:v>10183.5</c:v>
                </c:pt>
                <c:pt idx="44">
                  <c:v>11470.5</c:v>
                </c:pt>
                <c:pt idx="45">
                  <c:v>12179.5</c:v>
                </c:pt>
                <c:pt idx="46">
                  <c:v>13032</c:v>
                </c:pt>
              </c:numCache>
            </c:numRef>
          </c:xVal>
          <c:yVal>
            <c:numRef>
              <c:f>Active!$L$21:$L$670</c:f>
              <c:numCache>
                <c:formatCode>General</c:formatCode>
                <c:ptCount val="6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83-45B8-9743-8B67C6A05D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Active!$F$21:$F$670</c:f>
              <c:numCache>
                <c:formatCode>General</c:formatCode>
                <c:ptCount val="650"/>
                <c:pt idx="0">
                  <c:v>-9832</c:v>
                </c:pt>
                <c:pt idx="1">
                  <c:v>-9775</c:v>
                </c:pt>
                <c:pt idx="2">
                  <c:v>-9386</c:v>
                </c:pt>
                <c:pt idx="3">
                  <c:v>-9357</c:v>
                </c:pt>
                <c:pt idx="4">
                  <c:v>-7519</c:v>
                </c:pt>
                <c:pt idx="5">
                  <c:v>-7387</c:v>
                </c:pt>
                <c:pt idx="6">
                  <c:v>-4281</c:v>
                </c:pt>
                <c:pt idx="7">
                  <c:v>-3074</c:v>
                </c:pt>
                <c:pt idx="8">
                  <c:v>-1116</c:v>
                </c:pt>
                <c:pt idx="9">
                  <c:v>-1088</c:v>
                </c:pt>
                <c:pt idx="10">
                  <c:v>-1083</c:v>
                </c:pt>
                <c:pt idx="11">
                  <c:v>-1078.5</c:v>
                </c:pt>
                <c:pt idx="12">
                  <c:v>-1074</c:v>
                </c:pt>
                <c:pt idx="13">
                  <c:v>-1074</c:v>
                </c:pt>
                <c:pt idx="14">
                  <c:v>-1046</c:v>
                </c:pt>
                <c:pt idx="15">
                  <c:v>-686</c:v>
                </c:pt>
                <c:pt idx="16">
                  <c:v>-662.5</c:v>
                </c:pt>
                <c:pt idx="17">
                  <c:v>-662</c:v>
                </c:pt>
                <c:pt idx="18">
                  <c:v>-658</c:v>
                </c:pt>
                <c:pt idx="19">
                  <c:v>-255</c:v>
                </c:pt>
                <c:pt idx="20">
                  <c:v>0</c:v>
                </c:pt>
                <c:pt idx="21">
                  <c:v>0</c:v>
                </c:pt>
                <c:pt idx="22">
                  <c:v>61</c:v>
                </c:pt>
                <c:pt idx="23">
                  <c:v>89</c:v>
                </c:pt>
                <c:pt idx="24">
                  <c:v>90</c:v>
                </c:pt>
                <c:pt idx="25">
                  <c:v>421</c:v>
                </c:pt>
                <c:pt idx="26">
                  <c:v>1240</c:v>
                </c:pt>
                <c:pt idx="27">
                  <c:v>6984</c:v>
                </c:pt>
                <c:pt idx="28">
                  <c:v>7122</c:v>
                </c:pt>
                <c:pt idx="29">
                  <c:v>7122.5</c:v>
                </c:pt>
                <c:pt idx="30">
                  <c:v>7123</c:v>
                </c:pt>
                <c:pt idx="31">
                  <c:v>7124</c:v>
                </c:pt>
                <c:pt idx="32">
                  <c:v>7124.5</c:v>
                </c:pt>
                <c:pt idx="33">
                  <c:v>7132</c:v>
                </c:pt>
                <c:pt idx="34">
                  <c:v>7134</c:v>
                </c:pt>
                <c:pt idx="35">
                  <c:v>7883</c:v>
                </c:pt>
                <c:pt idx="36">
                  <c:v>7959.5</c:v>
                </c:pt>
                <c:pt idx="37">
                  <c:v>8190.5</c:v>
                </c:pt>
                <c:pt idx="38">
                  <c:v>8237</c:v>
                </c:pt>
                <c:pt idx="39">
                  <c:v>8273</c:v>
                </c:pt>
                <c:pt idx="40">
                  <c:v>8601</c:v>
                </c:pt>
                <c:pt idx="41">
                  <c:v>9468.5</c:v>
                </c:pt>
                <c:pt idx="42">
                  <c:v>9766.5</c:v>
                </c:pt>
                <c:pt idx="43">
                  <c:v>10183.5</c:v>
                </c:pt>
                <c:pt idx="44">
                  <c:v>11470.5</c:v>
                </c:pt>
                <c:pt idx="45">
                  <c:v>12179.5</c:v>
                </c:pt>
                <c:pt idx="46">
                  <c:v>13032</c:v>
                </c:pt>
              </c:numCache>
            </c:numRef>
          </c:xVal>
          <c:yVal>
            <c:numRef>
              <c:f>Active!$M$21:$M$670</c:f>
              <c:numCache>
                <c:formatCode>General</c:formatCode>
                <c:ptCount val="6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83-45B8-9743-8B67C6A05D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Active!$F$21:$F$670</c:f>
              <c:numCache>
                <c:formatCode>General</c:formatCode>
                <c:ptCount val="650"/>
                <c:pt idx="0">
                  <c:v>-9832</c:v>
                </c:pt>
                <c:pt idx="1">
                  <c:v>-9775</c:v>
                </c:pt>
                <c:pt idx="2">
                  <c:v>-9386</c:v>
                </c:pt>
                <c:pt idx="3">
                  <c:v>-9357</c:v>
                </c:pt>
                <c:pt idx="4">
                  <c:v>-7519</c:v>
                </c:pt>
                <c:pt idx="5">
                  <c:v>-7387</c:v>
                </c:pt>
                <c:pt idx="6">
                  <c:v>-4281</c:v>
                </c:pt>
                <c:pt idx="7">
                  <c:v>-3074</c:v>
                </c:pt>
                <c:pt idx="8">
                  <c:v>-1116</c:v>
                </c:pt>
                <c:pt idx="9">
                  <c:v>-1088</c:v>
                </c:pt>
                <c:pt idx="10">
                  <c:v>-1083</c:v>
                </c:pt>
                <c:pt idx="11">
                  <c:v>-1078.5</c:v>
                </c:pt>
                <c:pt idx="12">
                  <c:v>-1074</c:v>
                </c:pt>
                <c:pt idx="13">
                  <c:v>-1074</c:v>
                </c:pt>
                <c:pt idx="14">
                  <c:v>-1046</c:v>
                </c:pt>
                <c:pt idx="15">
                  <c:v>-686</c:v>
                </c:pt>
                <c:pt idx="16">
                  <c:v>-662.5</c:v>
                </c:pt>
                <c:pt idx="17">
                  <c:v>-662</c:v>
                </c:pt>
                <c:pt idx="18">
                  <c:v>-658</c:v>
                </c:pt>
                <c:pt idx="19">
                  <c:v>-255</c:v>
                </c:pt>
                <c:pt idx="20">
                  <c:v>0</c:v>
                </c:pt>
                <c:pt idx="21">
                  <c:v>0</c:v>
                </c:pt>
                <c:pt idx="22">
                  <c:v>61</c:v>
                </c:pt>
                <c:pt idx="23">
                  <c:v>89</c:v>
                </c:pt>
                <c:pt idx="24">
                  <c:v>90</c:v>
                </c:pt>
                <c:pt idx="25">
                  <c:v>421</c:v>
                </c:pt>
                <c:pt idx="26">
                  <c:v>1240</c:v>
                </c:pt>
                <c:pt idx="27">
                  <c:v>6984</c:v>
                </c:pt>
                <c:pt idx="28">
                  <c:v>7122</c:v>
                </c:pt>
                <c:pt idx="29">
                  <c:v>7122.5</c:v>
                </c:pt>
                <c:pt idx="30">
                  <c:v>7123</c:v>
                </c:pt>
                <c:pt idx="31">
                  <c:v>7124</c:v>
                </c:pt>
                <c:pt idx="32">
                  <c:v>7124.5</c:v>
                </c:pt>
                <c:pt idx="33">
                  <c:v>7132</c:v>
                </c:pt>
                <c:pt idx="34">
                  <c:v>7134</c:v>
                </c:pt>
                <c:pt idx="35">
                  <c:v>7883</c:v>
                </c:pt>
                <c:pt idx="36">
                  <c:v>7959.5</c:v>
                </c:pt>
                <c:pt idx="37">
                  <c:v>8190.5</c:v>
                </c:pt>
                <c:pt idx="38">
                  <c:v>8237</c:v>
                </c:pt>
                <c:pt idx="39">
                  <c:v>8273</c:v>
                </c:pt>
                <c:pt idx="40">
                  <c:v>8601</c:v>
                </c:pt>
                <c:pt idx="41">
                  <c:v>9468.5</c:v>
                </c:pt>
                <c:pt idx="42">
                  <c:v>9766.5</c:v>
                </c:pt>
                <c:pt idx="43">
                  <c:v>10183.5</c:v>
                </c:pt>
                <c:pt idx="44">
                  <c:v>11470.5</c:v>
                </c:pt>
                <c:pt idx="45">
                  <c:v>12179.5</c:v>
                </c:pt>
                <c:pt idx="46">
                  <c:v>13032</c:v>
                </c:pt>
              </c:numCache>
            </c:numRef>
          </c:xVal>
          <c:yVal>
            <c:numRef>
              <c:f>Active!$N$21:$N$670</c:f>
              <c:numCache>
                <c:formatCode>General</c:formatCode>
                <c:ptCount val="6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83-45B8-9743-8B67C6A05D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Active!$F$21:$F$670</c:f>
              <c:numCache>
                <c:formatCode>General</c:formatCode>
                <c:ptCount val="650"/>
                <c:pt idx="0">
                  <c:v>-9832</c:v>
                </c:pt>
                <c:pt idx="1">
                  <c:v>-9775</c:v>
                </c:pt>
                <c:pt idx="2">
                  <c:v>-9386</c:v>
                </c:pt>
                <c:pt idx="3">
                  <c:v>-9357</c:v>
                </c:pt>
                <c:pt idx="4">
                  <c:v>-7519</c:v>
                </c:pt>
                <c:pt idx="5">
                  <c:v>-7387</c:v>
                </c:pt>
                <c:pt idx="6">
                  <c:v>-4281</c:v>
                </c:pt>
                <c:pt idx="7">
                  <c:v>-3074</c:v>
                </c:pt>
                <c:pt idx="8">
                  <c:v>-1116</c:v>
                </c:pt>
                <c:pt idx="9">
                  <c:v>-1088</c:v>
                </c:pt>
                <c:pt idx="10">
                  <c:v>-1083</c:v>
                </c:pt>
                <c:pt idx="11">
                  <c:v>-1078.5</c:v>
                </c:pt>
                <c:pt idx="12">
                  <c:v>-1074</c:v>
                </c:pt>
                <c:pt idx="13">
                  <c:v>-1074</c:v>
                </c:pt>
                <c:pt idx="14">
                  <c:v>-1046</c:v>
                </c:pt>
                <c:pt idx="15">
                  <c:v>-686</c:v>
                </c:pt>
                <c:pt idx="16">
                  <c:v>-662.5</c:v>
                </c:pt>
                <c:pt idx="17">
                  <c:v>-662</c:v>
                </c:pt>
                <c:pt idx="18">
                  <c:v>-658</c:v>
                </c:pt>
                <c:pt idx="19">
                  <c:v>-255</c:v>
                </c:pt>
                <c:pt idx="20">
                  <c:v>0</c:v>
                </c:pt>
                <c:pt idx="21">
                  <c:v>0</c:v>
                </c:pt>
                <c:pt idx="22">
                  <c:v>61</c:v>
                </c:pt>
                <c:pt idx="23">
                  <c:v>89</c:v>
                </c:pt>
                <c:pt idx="24">
                  <c:v>90</c:v>
                </c:pt>
                <c:pt idx="25">
                  <c:v>421</c:v>
                </c:pt>
                <c:pt idx="26">
                  <c:v>1240</c:v>
                </c:pt>
                <c:pt idx="27">
                  <c:v>6984</c:v>
                </c:pt>
                <c:pt idx="28">
                  <c:v>7122</c:v>
                </c:pt>
                <c:pt idx="29">
                  <c:v>7122.5</c:v>
                </c:pt>
                <c:pt idx="30">
                  <c:v>7123</c:v>
                </c:pt>
                <c:pt idx="31">
                  <c:v>7124</c:v>
                </c:pt>
                <c:pt idx="32">
                  <c:v>7124.5</c:v>
                </c:pt>
                <c:pt idx="33">
                  <c:v>7132</c:v>
                </c:pt>
                <c:pt idx="34">
                  <c:v>7134</c:v>
                </c:pt>
                <c:pt idx="35">
                  <c:v>7883</c:v>
                </c:pt>
                <c:pt idx="36">
                  <c:v>7959.5</c:v>
                </c:pt>
                <c:pt idx="37">
                  <c:v>8190.5</c:v>
                </c:pt>
                <c:pt idx="38">
                  <c:v>8237</c:v>
                </c:pt>
                <c:pt idx="39">
                  <c:v>8273</c:v>
                </c:pt>
                <c:pt idx="40">
                  <c:v>8601</c:v>
                </c:pt>
                <c:pt idx="41">
                  <c:v>9468.5</c:v>
                </c:pt>
                <c:pt idx="42">
                  <c:v>9766.5</c:v>
                </c:pt>
                <c:pt idx="43">
                  <c:v>10183.5</c:v>
                </c:pt>
                <c:pt idx="44">
                  <c:v>11470.5</c:v>
                </c:pt>
                <c:pt idx="45">
                  <c:v>12179.5</c:v>
                </c:pt>
                <c:pt idx="46">
                  <c:v>13032</c:v>
                </c:pt>
              </c:numCache>
            </c:numRef>
          </c:xVal>
          <c:yVal>
            <c:numRef>
              <c:f>Active!$O$21:$O$670</c:f>
              <c:numCache>
                <c:formatCode>General</c:formatCode>
                <c:ptCount val="650"/>
                <c:pt idx="0">
                  <c:v>-0.14017623328036152</c:v>
                </c:pt>
                <c:pt idx="1">
                  <c:v>-0.13939918241119445</c:v>
                </c:pt>
                <c:pt idx="2">
                  <c:v>-0.13409615104091385</c:v>
                </c:pt>
                <c:pt idx="3">
                  <c:v>-0.13370080937063586</c:v>
                </c:pt>
                <c:pt idx="4">
                  <c:v>-0.10864432695784475</c:v>
                </c:pt>
                <c:pt idx="5">
                  <c:v>-0.10684484073451045</c:v>
                </c:pt>
                <c:pt idx="6">
                  <c:v>-6.4502384600599039E-2</c:v>
                </c:pt>
                <c:pt idx="7">
                  <c:v>-4.8047991634201384E-2</c:v>
                </c:pt>
                <c:pt idx="8">
                  <c:v>-2.1355612654742735E-2</c:v>
                </c:pt>
                <c:pt idx="9">
                  <c:v>-2.0973903455853642E-2</c:v>
                </c:pt>
                <c:pt idx="10">
                  <c:v>-2.0905741098909164E-2</c:v>
                </c:pt>
                <c:pt idx="11">
                  <c:v>-2.0844394977659129E-2</c:v>
                </c:pt>
                <c:pt idx="12">
                  <c:v>-2.0783048856409095E-2</c:v>
                </c:pt>
                <c:pt idx="13">
                  <c:v>-2.0783048856409095E-2</c:v>
                </c:pt>
                <c:pt idx="14">
                  <c:v>-2.0401339657520005E-2</c:v>
                </c:pt>
                <c:pt idx="15">
                  <c:v>-1.5493649957517393E-2</c:v>
                </c:pt>
                <c:pt idx="16">
                  <c:v>-1.5173286879878334E-2</c:v>
                </c:pt>
                <c:pt idx="17">
                  <c:v>-1.5166470644183886E-2</c:v>
                </c:pt>
                <c:pt idx="18">
                  <c:v>-1.5111940758628302E-2</c:v>
                </c:pt>
                <c:pt idx="19">
                  <c:v>-9.6180547889031555E-3</c:v>
                </c:pt>
                <c:pt idx="20">
                  <c:v>-6.1417745847346383E-3</c:v>
                </c:pt>
                <c:pt idx="21">
                  <c:v>-6.1417745847346383E-3</c:v>
                </c:pt>
                <c:pt idx="22">
                  <c:v>-5.3101938300119736E-3</c:v>
                </c:pt>
                <c:pt idx="23">
                  <c:v>-4.9284846311228817E-3</c:v>
                </c:pt>
                <c:pt idx="24">
                  <c:v>-4.9148521597339855E-3</c:v>
                </c:pt>
                <c:pt idx="25">
                  <c:v>-4.0250413000936149E-4</c:v>
                </c:pt>
                <c:pt idx="26">
                  <c:v>1.076248993749658E-2</c:v>
                </c:pt>
                <c:pt idx="27">
                  <c:v>8.9067405595316035E-2</c:v>
                </c:pt>
                <c:pt idx="28">
                  <c:v>9.0948686646983704E-2</c:v>
                </c:pt>
                <c:pt idx="29">
                  <c:v>9.0955502882678146E-2</c:v>
                </c:pt>
                <c:pt idx="30">
                  <c:v>9.0962319118372603E-2</c:v>
                </c:pt>
                <c:pt idx="31">
                  <c:v>9.0975951589761489E-2</c:v>
                </c:pt>
                <c:pt idx="32">
                  <c:v>9.0982767825455946E-2</c:v>
                </c:pt>
                <c:pt idx="33">
                  <c:v>9.1085011360872659E-2</c:v>
                </c:pt>
                <c:pt idx="34">
                  <c:v>9.1112276303650458E-2</c:v>
                </c:pt>
                <c:pt idx="35">
                  <c:v>0.10132299737393366</c:v>
                </c:pt>
                <c:pt idx="36">
                  <c:v>0.10236588143518423</c:v>
                </c:pt>
                <c:pt idx="37">
                  <c:v>0.10551498232601923</c:v>
                </c:pt>
                <c:pt idx="38">
                  <c:v>0.10614889224560291</c:v>
                </c:pt>
                <c:pt idx="39">
                  <c:v>0.10663966121560316</c:v>
                </c:pt>
                <c:pt idx="40">
                  <c:v>0.1111111118311611</c:v>
                </c:pt>
                <c:pt idx="41">
                  <c:v>0.1229372807610285</c:v>
                </c:pt>
                <c:pt idx="42">
                  <c:v>0.12699975723491955</c:v>
                </c:pt>
                <c:pt idx="43">
                  <c:v>0.13268449780408925</c:v>
                </c:pt>
                <c:pt idx="44">
                  <c:v>0.15022948848159859</c:v>
                </c:pt>
                <c:pt idx="45">
                  <c:v>0.15989491069632594</c:v>
                </c:pt>
                <c:pt idx="46">
                  <c:v>0.17151659255535992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83-45B8-9743-8B67C6A05DF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Active!$F$21:$F$670</c:f>
              <c:numCache>
                <c:formatCode>General</c:formatCode>
                <c:ptCount val="650"/>
                <c:pt idx="0">
                  <c:v>-9832</c:v>
                </c:pt>
                <c:pt idx="1">
                  <c:v>-9775</c:v>
                </c:pt>
                <c:pt idx="2">
                  <c:v>-9386</c:v>
                </c:pt>
                <c:pt idx="3">
                  <c:v>-9357</c:v>
                </c:pt>
                <c:pt idx="4">
                  <c:v>-7519</c:v>
                </c:pt>
                <c:pt idx="5">
                  <c:v>-7387</c:v>
                </c:pt>
                <c:pt idx="6">
                  <c:v>-4281</c:v>
                </c:pt>
                <c:pt idx="7">
                  <c:v>-3074</c:v>
                </c:pt>
                <c:pt idx="8">
                  <c:v>-1116</c:v>
                </c:pt>
                <c:pt idx="9">
                  <c:v>-1088</c:v>
                </c:pt>
                <c:pt idx="10">
                  <c:v>-1083</c:v>
                </c:pt>
                <c:pt idx="11">
                  <c:v>-1078.5</c:v>
                </c:pt>
                <c:pt idx="12">
                  <c:v>-1074</c:v>
                </c:pt>
                <c:pt idx="13">
                  <c:v>-1074</c:v>
                </c:pt>
                <c:pt idx="14">
                  <c:v>-1046</c:v>
                </c:pt>
                <c:pt idx="15">
                  <c:v>-686</c:v>
                </c:pt>
                <c:pt idx="16">
                  <c:v>-662.5</c:v>
                </c:pt>
                <c:pt idx="17">
                  <c:v>-662</c:v>
                </c:pt>
                <c:pt idx="18">
                  <c:v>-658</c:v>
                </c:pt>
                <c:pt idx="19">
                  <c:v>-255</c:v>
                </c:pt>
                <c:pt idx="20">
                  <c:v>0</c:v>
                </c:pt>
                <c:pt idx="21">
                  <c:v>0</c:v>
                </c:pt>
                <c:pt idx="22">
                  <c:v>61</c:v>
                </c:pt>
                <c:pt idx="23">
                  <c:v>89</c:v>
                </c:pt>
                <c:pt idx="24">
                  <c:v>90</c:v>
                </c:pt>
                <c:pt idx="25">
                  <c:v>421</c:v>
                </c:pt>
                <c:pt idx="26">
                  <c:v>1240</c:v>
                </c:pt>
                <c:pt idx="27">
                  <c:v>6984</c:v>
                </c:pt>
                <c:pt idx="28">
                  <c:v>7122</c:v>
                </c:pt>
                <c:pt idx="29">
                  <c:v>7122.5</c:v>
                </c:pt>
                <c:pt idx="30">
                  <c:v>7123</c:v>
                </c:pt>
                <c:pt idx="31">
                  <c:v>7124</c:v>
                </c:pt>
                <c:pt idx="32">
                  <c:v>7124.5</c:v>
                </c:pt>
                <c:pt idx="33">
                  <c:v>7132</c:v>
                </c:pt>
                <c:pt idx="34">
                  <c:v>7134</c:v>
                </c:pt>
                <c:pt idx="35">
                  <c:v>7883</c:v>
                </c:pt>
                <c:pt idx="36">
                  <c:v>7959.5</c:v>
                </c:pt>
                <c:pt idx="37">
                  <c:v>8190.5</c:v>
                </c:pt>
                <c:pt idx="38">
                  <c:v>8237</c:v>
                </c:pt>
                <c:pt idx="39">
                  <c:v>8273</c:v>
                </c:pt>
                <c:pt idx="40">
                  <c:v>8601</c:v>
                </c:pt>
                <c:pt idx="41">
                  <c:v>9468.5</c:v>
                </c:pt>
                <c:pt idx="42">
                  <c:v>9766.5</c:v>
                </c:pt>
                <c:pt idx="43">
                  <c:v>10183.5</c:v>
                </c:pt>
                <c:pt idx="44">
                  <c:v>11470.5</c:v>
                </c:pt>
                <c:pt idx="45">
                  <c:v>12179.5</c:v>
                </c:pt>
                <c:pt idx="46">
                  <c:v>13032</c:v>
                </c:pt>
              </c:numCache>
            </c:numRef>
          </c:xVal>
          <c:yVal>
            <c:numRef>
              <c:f>Active!$U$21:$U$670</c:f>
              <c:numCache>
                <c:formatCode>General</c:formatCode>
                <c:ptCount val="650"/>
                <c:pt idx="11">
                  <c:v>0.22954000000027008</c:v>
                </c:pt>
                <c:pt idx="36">
                  <c:v>0.14869000000180677</c:v>
                </c:pt>
                <c:pt idx="37">
                  <c:v>9.0980000008130446E-2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183-45B8-9743-8B67C6A05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105176"/>
        <c:axId val="1"/>
      </c:scatterChart>
      <c:valAx>
        <c:axId val="881105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1105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483870967742"/>
          <c:y val="0.91277520216514996"/>
          <c:w val="0.75645161290322582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428625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91EEF37-82B4-DB9A-D3C2-44DA48A04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60" TargetMode="External"/><Relationship Id="rId13" Type="http://schemas.openxmlformats.org/officeDocument/2006/relationships/hyperlink" Target="http://www.konkoly.hu/cgi-bin/IBVS?5809" TargetMode="External"/><Relationship Id="rId3" Type="http://schemas.openxmlformats.org/officeDocument/2006/relationships/hyperlink" Target="http://www.konkoly.hu/cgi-bin/IBVS?5672" TargetMode="External"/><Relationship Id="rId7" Type="http://schemas.openxmlformats.org/officeDocument/2006/relationships/hyperlink" Target="http://www.konkoly.hu/cgi-bin/IBVS?5920" TargetMode="External"/><Relationship Id="rId12" Type="http://schemas.openxmlformats.org/officeDocument/2006/relationships/hyperlink" Target="http://www.konkoly.hu/cgi-bin/IBVS?5809" TargetMode="External"/><Relationship Id="rId2" Type="http://schemas.openxmlformats.org/officeDocument/2006/relationships/hyperlink" Target="http://www.bav-astro.de/sfs/BAVM_link.php?BAVMnr=178" TargetMode="External"/><Relationship Id="rId16" Type="http://schemas.openxmlformats.org/officeDocument/2006/relationships/hyperlink" Target="http://www.konkoly.hu/cgi-bin/IBVS?5809" TargetMode="External"/><Relationship Id="rId1" Type="http://schemas.openxmlformats.org/officeDocument/2006/relationships/hyperlink" Target="http://www.konkoly.hu/cgi-bin/IBVS?5378" TargetMode="External"/><Relationship Id="rId6" Type="http://schemas.openxmlformats.org/officeDocument/2006/relationships/hyperlink" Target="http://www.konkoly.hu/cgi-bin/IBVS?5894" TargetMode="External"/><Relationship Id="rId11" Type="http://schemas.openxmlformats.org/officeDocument/2006/relationships/hyperlink" Target="http://www.konkoly.hu/cgi-bin/IBVS?5809" TargetMode="External"/><Relationship Id="rId5" Type="http://schemas.openxmlformats.org/officeDocument/2006/relationships/hyperlink" Target="http://www.bav-astro.de/sfs/BAVM_link.php?BAVMnr=183" TargetMode="External"/><Relationship Id="rId15" Type="http://schemas.openxmlformats.org/officeDocument/2006/relationships/hyperlink" Target="http://www.konkoly.hu/cgi-bin/IBVS?5809" TargetMode="External"/><Relationship Id="rId10" Type="http://schemas.openxmlformats.org/officeDocument/2006/relationships/hyperlink" Target="http://www.konkoly.hu/cgi-bin/IBVS?5809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238" TargetMode="External"/><Relationship Id="rId14" Type="http://schemas.openxmlformats.org/officeDocument/2006/relationships/hyperlink" Target="http://www.konkoly.hu/cgi-bin/IBVS?58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s="42" customFormat="1" ht="20.25" x14ac:dyDescent="0.2">
      <c r="A1" s="61" t="s">
        <v>0</v>
      </c>
    </row>
    <row r="2" spans="1:6" s="42" customFormat="1" ht="12.95" customHeight="1" x14ac:dyDescent="0.2">
      <c r="A2" s="42" t="s">
        <v>1</v>
      </c>
      <c r="B2" s="42" t="s">
        <v>2</v>
      </c>
    </row>
    <row r="3" spans="1:6" s="42" customFormat="1" ht="12.95" customHeight="1" x14ac:dyDescent="0.2">
      <c r="C3" s="43" t="s">
        <v>3</v>
      </c>
    </row>
    <row r="4" spans="1:6" s="42" customFormat="1" ht="12.95" customHeight="1" x14ac:dyDescent="0.2">
      <c r="A4" s="44" t="s">
        <v>4</v>
      </c>
      <c r="C4" s="45">
        <v>46052.63</v>
      </c>
      <c r="D4" s="46">
        <v>0.93044000000000004</v>
      </c>
    </row>
    <row r="5" spans="1:6" s="42" customFormat="1" ht="12.95" customHeight="1" x14ac:dyDescent="0.2">
      <c r="A5" s="47" t="s">
        <v>5</v>
      </c>
      <c r="C5" s="48">
        <v>-9.5</v>
      </c>
      <c r="D5" s="42" t="s">
        <v>6</v>
      </c>
    </row>
    <row r="6" spans="1:6" s="42" customFormat="1" ht="12.95" customHeight="1" x14ac:dyDescent="0.2">
      <c r="A6" s="44" t="s">
        <v>7</v>
      </c>
    </row>
    <row r="7" spans="1:6" s="42" customFormat="1" ht="12.95" customHeight="1" x14ac:dyDescent="0.2">
      <c r="A7" s="42" t="s">
        <v>8</v>
      </c>
      <c r="C7" s="42">
        <f>+C4</f>
        <v>46052.63</v>
      </c>
    </row>
    <row r="8" spans="1:6" s="42" customFormat="1" ht="12.95" customHeight="1" x14ac:dyDescent="0.2">
      <c r="A8" s="42" t="s">
        <v>9</v>
      </c>
      <c r="C8" s="42">
        <f>+D4</f>
        <v>0.93044000000000004</v>
      </c>
    </row>
    <row r="9" spans="1:6" s="42" customFormat="1" ht="12.95" customHeight="1" x14ac:dyDescent="0.2">
      <c r="A9" s="49" t="s">
        <v>10</v>
      </c>
      <c r="B9" s="50">
        <v>21</v>
      </c>
      <c r="C9" s="51" t="str">
        <f>"F"&amp;B9</f>
        <v>F21</v>
      </c>
      <c r="D9" s="43" t="str">
        <f>"G"&amp;B9</f>
        <v>G21</v>
      </c>
    </row>
    <row r="10" spans="1:6" s="42" customFormat="1" ht="12.95" customHeight="1" x14ac:dyDescent="0.2">
      <c r="C10" s="52" t="s">
        <v>11</v>
      </c>
      <c r="D10" s="52" t="s">
        <v>12</v>
      </c>
    </row>
    <row r="11" spans="1:6" s="42" customFormat="1" ht="12.95" customHeight="1" x14ac:dyDescent="0.2">
      <c r="A11" s="42" t="s">
        <v>13</v>
      </c>
      <c r="C11" s="43">
        <f ca="1">INTERCEPT(INDIRECT($D$9):G992,INDIRECT($C$9):F992)</f>
        <v>-6.1417745847346383E-3</v>
      </c>
      <c r="D11" s="53"/>
    </row>
    <row r="12" spans="1:6" s="42" customFormat="1" ht="12.95" customHeight="1" x14ac:dyDescent="0.2">
      <c r="A12" s="42" t="s">
        <v>14</v>
      </c>
      <c r="C12" s="43">
        <f ca="1">SLOPE(INDIRECT($D$9):G992,INDIRECT($C$9):F992)</f>
        <v>1.3632471388896144E-5</v>
      </c>
      <c r="D12" s="53"/>
    </row>
    <row r="13" spans="1:6" s="42" customFormat="1" ht="12.95" customHeight="1" x14ac:dyDescent="0.2">
      <c r="A13" s="42" t="s">
        <v>15</v>
      </c>
      <c r="C13" s="53" t="s">
        <v>16</v>
      </c>
    </row>
    <row r="14" spans="1:6" s="42" customFormat="1" ht="12.95" customHeight="1" x14ac:dyDescent="0.2"/>
    <row r="15" spans="1:6" s="42" customFormat="1" ht="12.95" customHeight="1" x14ac:dyDescent="0.2">
      <c r="A15" s="44" t="s">
        <v>17</v>
      </c>
      <c r="C15" s="54">
        <f ca="1">(C7+C11)+(C8+C12)*INT(MAX(F21:F3533))</f>
        <v>58178.295596592558</v>
      </c>
      <c r="E15" s="49" t="s">
        <v>18</v>
      </c>
      <c r="F15" s="48">
        <v>1</v>
      </c>
    </row>
    <row r="16" spans="1:6" s="42" customFormat="1" ht="12.95" customHeight="1" x14ac:dyDescent="0.2">
      <c r="A16" s="44" t="s">
        <v>19</v>
      </c>
      <c r="C16" s="54">
        <f ca="1">+C8+C12</f>
        <v>0.9304536324713889</v>
      </c>
      <c r="E16" s="49" t="s">
        <v>20</v>
      </c>
      <c r="F16" s="43">
        <f ca="1">NOW()+15018.5+$C$5/24</f>
        <v>60376.734587268518</v>
      </c>
    </row>
    <row r="17" spans="1:21" s="42" customFormat="1" ht="12.95" customHeight="1" x14ac:dyDescent="0.2">
      <c r="A17" s="49" t="s">
        <v>21</v>
      </c>
      <c r="C17" s="42">
        <f>COUNT(C21:C2191)</f>
        <v>47</v>
      </c>
      <c r="E17" s="49" t="s">
        <v>22</v>
      </c>
      <c r="F17" s="43">
        <f ca="1">ROUND(2*(F16-$C$7)/$C$8,0)/2+F15</f>
        <v>15396</v>
      </c>
    </row>
    <row r="18" spans="1:21" s="42" customFormat="1" ht="12.95" customHeight="1" x14ac:dyDescent="0.2">
      <c r="A18" s="44" t="s">
        <v>23</v>
      </c>
      <c r="C18" s="45">
        <f ca="1">+C15</f>
        <v>58178.295596592558</v>
      </c>
      <c r="D18" s="46">
        <f ca="1">+C16</f>
        <v>0.9304536324713889</v>
      </c>
      <c r="E18" s="49" t="s">
        <v>24</v>
      </c>
      <c r="F18" s="43">
        <f ca="1">ROUND(2*(F16-$C$15)/$C$16,0)/2+F15</f>
        <v>2364</v>
      </c>
    </row>
    <row r="19" spans="1:21" s="42" customFormat="1" ht="12.95" customHeight="1" x14ac:dyDescent="0.2">
      <c r="E19" s="49" t="s">
        <v>25</v>
      </c>
      <c r="F19" s="55">
        <f ca="1">+$C$15+$C$16*F18-15018.5-$C$5/24</f>
        <v>45359.783817088253</v>
      </c>
    </row>
    <row r="20" spans="1:21" s="42" customFormat="1" ht="12.95" customHeight="1" x14ac:dyDescent="0.2">
      <c r="A20" s="52" t="s">
        <v>26</v>
      </c>
      <c r="B20" s="52" t="s">
        <v>27</v>
      </c>
      <c r="C20" s="52" t="s">
        <v>28</v>
      </c>
      <c r="D20" s="52" t="s">
        <v>29</v>
      </c>
      <c r="E20" s="52" t="s">
        <v>30</v>
      </c>
      <c r="F20" s="52" t="s">
        <v>31</v>
      </c>
      <c r="G20" s="52" t="s">
        <v>32</v>
      </c>
      <c r="H20" s="56" t="s">
        <v>33</v>
      </c>
      <c r="I20" s="56" t="s">
        <v>34</v>
      </c>
      <c r="J20" s="56" t="s">
        <v>35</v>
      </c>
      <c r="K20" s="56" t="s">
        <v>36</v>
      </c>
      <c r="L20" s="56" t="s">
        <v>37</v>
      </c>
      <c r="M20" s="56" t="s">
        <v>38</v>
      </c>
      <c r="N20" s="56" t="s">
        <v>39</v>
      </c>
      <c r="O20" s="56" t="s">
        <v>40</v>
      </c>
      <c r="P20" s="56" t="s">
        <v>41</v>
      </c>
      <c r="Q20" s="52" t="s">
        <v>42</v>
      </c>
      <c r="U20" s="57" t="s">
        <v>43</v>
      </c>
    </row>
    <row r="21" spans="1:21" s="42" customFormat="1" ht="12.95" customHeight="1" x14ac:dyDescent="0.2">
      <c r="A21" s="58" t="s">
        <v>44</v>
      </c>
      <c r="B21" s="59" t="s">
        <v>45</v>
      </c>
      <c r="C21" s="58">
        <v>36904.436999999998</v>
      </c>
      <c r="D21" s="53"/>
      <c r="E21" s="42">
        <f t="shared" ref="E21:E65" si="0">+(C21-C$7)/C$8</f>
        <v>-9832.1149133743165</v>
      </c>
      <c r="F21" s="42">
        <f t="shared" ref="F21:F66" si="1">ROUND(2*E21,0)/2</f>
        <v>-9832</v>
      </c>
      <c r="G21" s="42">
        <f t="shared" ref="G21:G31" si="2">+C21-(C$7+F21*C$8)</f>
        <v>-0.10691999999835389</v>
      </c>
      <c r="H21" s="42">
        <f t="shared" ref="H21:H34" si="3">+G21</f>
        <v>-0.10691999999835389</v>
      </c>
      <c r="O21" s="42">
        <f t="shared" ref="O21:O65" ca="1" si="4">+C$11+C$12*$F21</f>
        <v>-0.14017623328036152</v>
      </c>
      <c r="Q21" s="60">
        <f t="shared" ref="Q21:Q65" si="5">+C21-15018.5</f>
        <v>21885.936999999998</v>
      </c>
    </row>
    <row r="22" spans="1:21" s="42" customFormat="1" ht="12.95" customHeight="1" x14ac:dyDescent="0.2">
      <c r="A22" s="58" t="s">
        <v>44</v>
      </c>
      <c r="B22" s="59" t="s">
        <v>45</v>
      </c>
      <c r="C22" s="58">
        <v>36957.402999999998</v>
      </c>
      <c r="D22" s="53"/>
      <c r="E22" s="42">
        <f t="shared" si="0"/>
        <v>-9775.1891578178056</v>
      </c>
      <c r="F22" s="42">
        <f t="shared" si="1"/>
        <v>-9775</v>
      </c>
      <c r="G22" s="42">
        <f t="shared" si="2"/>
        <v>-0.17599999999947613</v>
      </c>
      <c r="H22" s="42">
        <f t="shared" si="3"/>
        <v>-0.17599999999947613</v>
      </c>
      <c r="O22" s="42">
        <f t="shared" ca="1" si="4"/>
        <v>-0.13939918241119445</v>
      </c>
      <c r="Q22" s="60">
        <f t="shared" si="5"/>
        <v>21938.902999999998</v>
      </c>
    </row>
    <row r="23" spans="1:21" s="42" customFormat="1" ht="12.95" customHeight="1" x14ac:dyDescent="0.2">
      <c r="A23" s="58" t="s">
        <v>44</v>
      </c>
      <c r="B23" s="59" t="s">
        <v>45</v>
      </c>
      <c r="C23" s="58">
        <v>37319.385999999999</v>
      </c>
      <c r="D23" s="53"/>
      <c r="E23" s="42">
        <f t="shared" si="0"/>
        <v>-9386.1441898456633</v>
      </c>
      <c r="F23" s="42">
        <f t="shared" si="1"/>
        <v>-9386</v>
      </c>
      <c r="G23" s="42">
        <f t="shared" si="2"/>
        <v>-0.13416000000142958</v>
      </c>
      <c r="H23" s="42">
        <f t="shared" si="3"/>
        <v>-0.13416000000142958</v>
      </c>
      <c r="O23" s="42">
        <f t="shared" ca="1" si="4"/>
        <v>-0.13409615104091385</v>
      </c>
      <c r="Q23" s="60">
        <f t="shared" si="5"/>
        <v>22300.885999999999</v>
      </c>
    </row>
    <row r="24" spans="1:21" s="42" customFormat="1" ht="12.95" customHeight="1" x14ac:dyDescent="0.2">
      <c r="A24" s="58" t="s">
        <v>44</v>
      </c>
      <c r="B24" s="59" t="s">
        <v>45</v>
      </c>
      <c r="C24" s="58">
        <v>37346.374000000003</v>
      </c>
      <c r="D24" s="53"/>
      <c r="E24" s="42">
        <f t="shared" si="0"/>
        <v>-9357.1385581015365</v>
      </c>
      <c r="F24" s="42">
        <f t="shared" si="1"/>
        <v>-9357</v>
      </c>
      <c r="G24" s="42">
        <f t="shared" si="2"/>
        <v>-0.12891999999555992</v>
      </c>
      <c r="H24" s="42">
        <f t="shared" si="3"/>
        <v>-0.12891999999555992</v>
      </c>
      <c r="O24" s="42">
        <f t="shared" ca="1" si="4"/>
        <v>-0.13370080937063586</v>
      </c>
      <c r="Q24" s="60">
        <f t="shared" si="5"/>
        <v>22327.874000000003</v>
      </c>
    </row>
    <row r="25" spans="1:21" s="42" customFormat="1" ht="12.95" customHeight="1" x14ac:dyDescent="0.2">
      <c r="A25" s="58" t="s">
        <v>44</v>
      </c>
      <c r="B25" s="59" t="s">
        <v>45</v>
      </c>
      <c r="C25" s="58">
        <v>39056.531000000003</v>
      </c>
      <c r="D25" s="53"/>
      <c r="E25" s="42">
        <f t="shared" si="0"/>
        <v>-7519.1296590860175</v>
      </c>
      <c r="F25" s="42">
        <f t="shared" si="1"/>
        <v>-7519</v>
      </c>
      <c r="G25" s="42">
        <f t="shared" si="2"/>
        <v>-0.12063999999372754</v>
      </c>
      <c r="H25" s="42">
        <f t="shared" si="3"/>
        <v>-0.12063999999372754</v>
      </c>
      <c r="O25" s="42">
        <f t="shared" ca="1" si="4"/>
        <v>-0.10864432695784475</v>
      </c>
      <c r="Q25" s="60">
        <f t="shared" si="5"/>
        <v>24038.031000000003</v>
      </c>
    </row>
    <row r="26" spans="1:21" s="42" customFormat="1" ht="12.95" customHeight="1" x14ac:dyDescent="0.2">
      <c r="A26" s="58" t="s">
        <v>44</v>
      </c>
      <c r="B26" s="59" t="s">
        <v>45</v>
      </c>
      <c r="C26" s="58">
        <v>39179.351000000002</v>
      </c>
      <c r="D26" s="53"/>
      <c r="E26" s="42">
        <f t="shared" si="0"/>
        <v>-7387.1275955461879</v>
      </c>
      <c r="F26" s="42">
        <f t="shared" si="1"/>
        <v>-7387</v>
      </c>
      <c r="G26" s="42">
        <f t="shared" si="2"/>
        <v>-0.11871999999129912</v>
      </c>
      <c r="H26" s="42">
        <f t="shared" si="3"/>
        <v>-0.11871999999129912</v>
      </c>
      <c r="O26" s="42">
        <f t="shared" ca="1" si="4"/>
        <v>-0.10684484073451045</v>
      </c>
      <c r="Q26" s="60">
        <f t="shared" si="5"/>
        <v>24160.851000000002</v>
      </c>
    </row>
    <row r="27" spans="1:21" s="42" customFormat="1" ht="12.95" customHeight="1" x14ac:dyDescent="0.2">
      <c r="A27" s="58" t="s">
        <v>44</v>
      </c>
      <c r="B27" s="59" t="s">
        <v>45</v>
      </c>
      <c r="C27" s="58">
        <v>42069.322</v>
      </c>
      <c r="D27" s="53"/>
      <c r="E27" s="42">
        <f t="shared" si="0"/>
        <v>-4281.1014143845887</v>
      </c>
      <c r="F27" s="42">
        <f t="shared" si="1"/>
        <v>-4281</v>
      </c>
      <c r="G27" s="42">
        <f t="shared" si="2"/>
        <v>-9.435999999550404E-2</v>
      </c>
      <c r="H27" s="42">
        <f t="shared" si="3"/>
        <v>-9.435999999550404E-2</v>
      </c>
      <c r="O27" s="42">
        <f t="shared" ca="1" si="4"/>
        <v>-6.4502384600599039E-2</v>
      </c>
      <c r="Q27" s="60">
        <f t="shared" si="5"/>
        <v>27050.822</v>
      </c>
    </row>
    <row r="28" spans="1:21" x14ac:dyDescent="0.2">
      <c r="A28" s="4" t="s">
        <v>44</v>
      </c>
      <c r="B28" s="5" t="s">
        <v>45</v>
      </c>
      <c r="C28" s="4">
        <v>43192.391000000003</v>
      </c>
      <c r="D28" s="3"/>
      <c r="E28" s="1">
        <f t="shared" si="0"/>
        <v>-3074.0714070762156</v>
      </c>
      <c r="F28" s="1">
        <f t="shared" si="1"/>
        <v>-3074</v>
      </c>
      <c r="G28" s="1">
        <f t="shared" si="2"/>
        <v>-6.6439999995054677E-2</v>
      </c>
      <c r="H28" s="1">
        <f t="shared" si="3"/>
        <v>-6.6439999995054677E-2</v>
      </c>
      <c r="O28" s="1">
        <f t="shared" ca="1" si="4"/>
        <v>-4.8047991634201384E-2</v>
      </c>
      <c r="Q28" s="41">
        <f t="shared" si="5"/>
        <v>28173.891000000003</v>
      </c>
    </row>
    <row r="29" spans="1:21" x14ac:dyDescent="0.2">
      <c r="A29" s="1" t="s">
        <v>46</v>
      </c>
      <c r="C29" s="6">
        <v>45014.27</v>
      </c>
      <c r="D29" s="6"/>
      <c r="E29" s="1">
        <f t="shared" si="0"/>
        <v>-1115.9881346459745</v>
      </c>
      <c r="F29" s="1">
        <f t="shared" si="1"/>
        <v>-1116</v>
      </c>
      <c r="G29" s="1">
        <f t="shared" si="2"/>
        <v>1.1039999997592531E-2</v>
      </c>
      <c r="H29" s="1">
        <f t="shared" si="3"/>
        <v>1.1039999997592531E-2</v>
      </c>
      <c r="O29" s="1">
        <f t="shared" ca="1" si="4"/>
        <v>-2.1355612654742735E-2</v>
      </c>
      <c r="Q29" s="41">
        <f t="shared" si="5"/>
        <v>29995.769999999997</v>
      </c>
    </row>
    <row r="30" spans="1:21" x14ac:dyDescent="0.2">
      <c r="A30" s="1" t="s">
        <v>46</v>
      </c>
      <c r="C30" s="6">
        <v>45040.3</v>
      </c>
      <c r="D30" s="6"/>
      <c r="E30" s="1">
        <f t="shared" si="0"/>
        <v>-1088.0121232964989</v>
      </c>
      <c r="F30" s="1">
        <f t="shared" si="1"/>
        <v>-1088</v>
      </c>
      <c r="G30" s="1">
        <f t="shared" si="2"/>
        <v>-1.1279999991529621E-2</v>
      </c>
      <c r="H30" s="1">
        <f t="shared" si="3"/>
        <v>-1.1279999991529621E-2</v>
      </c>
      <c r="O30" s="1">
        <f t="shared" ca="1" si="4"/>
        <v>-2.0973903455853642E-2</v>
      </c>
      <c r="Q30" s="41">
        <f t="shared" si="5"/>
        <v>30021.800000000003</v>
      </c>
    </row>
    <row r="31" spans="1:21" x14ac:dyDescent="0.2">
      <c r="A31" s="4" t="s">
        <v>47</v>
      </c>
      <c r="B31" s="5" t="s">
        <v>45</v>
      </c>
      <c r="C31" s="4">
        <v>45044.947999999997</v>
      </c>
      <c r="D31" s="3"/>
      <c r="E31" s="1">
        <f t="shared" si="0"/>
        <v>-1083.016637289885</v>
      </c>
      <c r="F31" s="1">
        <f t="shared" si="1"/>
        <v>-1083</v>
      </c>
      <c r="G31" s="1">
        <f t="shared" si="2"/>
        <v>-1.5480000001844019E-2</v>
      </c>
      <c r="H31" s="1">
        <f t="shared" si="3"/>
        <v>-1.5480000001844019E-2</v>
      </c>
      <c r="O31" s="1">
        <f t="shared" ca="1" si="4"/>
        <v>-2.0905741098909164E-2</v>
      </c>
      <c r="Q31" s="41">
        <f t="shared" si="5"/>
        <v>30026.447999999997</v>
      </c>
    </row>
    <row r="32" spans="1:21" x14ac:dyDescent="0.2">
      <c r="A32" s="1" t="s">
        <v>46</v>
      </c>
      <c r="C32" s="6">
        <v>45049.38</v>
      </c>
      <c r="D32" s="6"/>
      <c r="E32" s="1">
        <f t="shared" si="0"/>
        <v>-1078.2532995142083</v>
      </c>
      <c r="F32" s="1">
        <f t="shared" si="1"/>
        <v>-1078.5</v>
      </c>
      <c r="H32" s="1">
        <f t="shared" si="3"/>
        <v>0</v>
      </c>
      <c r="O32" s="1">
        <f t="shared" ca="1" si="4"/>
        <v>-2.0844394977659129E-2</v>
      </c>
      <c r="Q32" s="41">
        <f t="shared" si="5"/>
        <v>30030.879999999997</v>
      </c>
      <c r="U32" s="2">
        <v>0.22954000000027008</v>
      </c>
    </row>
    <row r="33" spans="1:17" x14ac:dyDescent="0.2">
      <c r="A33" s="4" t="s">
        <v>48</v>
      </c>
      <c r="B33" s="5" t="s">
        <v>45</v>
      </c>
      <c r="C33" s="4">
        <v>45053.315999999999</v>
      </c>
      <c r="D33" s="3"/>
      <c r="E33" s="1">
        <f t="shared" si="0"/>
        <v>-1074.0230428614402</v>
      </c>
      <c r="F33" s="1">
        <f t="shared" si="1"/>
        <v>-1074</v>
      </c>
      <c r="G33" s="1">
        <f t="shared" ref="G33:G56" si="6">+C33-(C$7+F33*C$8)</f>
        <v>-2.1439999996800907E-2</v>
      </c>
      <c r="H33" s="1">
        <f t="shared" si="3"/>
        <v>-2.1439999996800907E-2</v>
      </c>
      <c r="O33" s="1">
        <f t="shared" ca="1" si="4"/>
        <v>-2.0783048856409095E-2</v>
      </c>
      <c r="Q33" s="41">
        <f t="shared" si="5"/>
        <v>30034.815999999999</v>
      </c>
    </row>
    <row r="34" spans="1:17" x14ac:dyDescent="0.2">
      <c r="A34" s="1" t="s">
        <v>46</v>
      </c>
      <c r="C34" s="6">
        <v>45053.32</v>
      </c>
      <c r="D34" s="6"/>
      <c r="E34" s="1">
        <f t="shared" si="0"/>
        <v>-1074.0187438201256</v>
      </c>
      <c r="F34" s="1">
        <f t="shared" si="1"/>
        <v>-1074</v>
      </c>
      <c r="G34" s="1">
        <f t="shared" si="6"/>
        <v>-1.7439999995986E-2</v>
      </c>
      <c r="H34" s="1">
        <f t="shared" si="3"/>
        <v>-1.7439999995986E-2</v>
      </c>
      <c r="O34" s="1">
        <f t="shared" ca="1" si="4"/>
        <v>-2.0783048856409095E-2</v>
      </c>
      <c r="Q34" s="41">
        <f t="shared" si="5"/>
        <v>30034.82</v>
      </c>
    </row>
    <row r="35" spans="1:17" x14ac:dyDescent="0.2">
      <c r="A35" s="4" t="s">
        <v>48</v>
      </c>
      <c r="B35" s="5" t="s">
        <v>45</v>
      </c>
      <c r="C35" s="4">
        <v>45079.373</v>
      </c>
      <c r="D35" s="3"/>
      <c r="E35" s="1">
        <f t="shared" si="0"/>
        <v>-1046.0180129831024</v>
      </c>
      <c r="F35" s="1">
        <f t="shared" si="1"/>
        <v>-1046</v>
      </c>
      <c r="G35" s="1">
        <f t="shared" si="6"/>
        <v>-1.6759999998612329E-2</v>
      </c>
      <c r="I35" s="1">
        <f t="shared" ref="I35:I40" si="7">+G35</f>
        <v>-1.6759999998612329E-2</v>
      </c>
      <c r="O35" s="1">
        <f t="shared" ca="1" si="4"/>
        <v>-2.0401339657520005E-2</v>
      </c>
      <c r="Q35" s="41">
        <f t="shared" si="5"/>
        <v>30060.873</v>
      </c>
    </row>
    <row r="36" spans="1:17" x14ac:dyDescent="0.2">
      <c r="A36" s="4" t="s">
        <v>48</v>
      </c>
      <c r="B36" s="5" t="s">
        <v>45</v>
      </c>
      <c r="C36" s="4">
        <v>45414.322999999997</v>
      </c>
      <c r="D36" s="3"/>
      <c r="E36" s="1">
        <f t="shared" si="0"/>
        <v>-686.0270409698644</v>
      </c>
      <c r="F36" s="1">
        <f t="shared" si="1"/>
        <v>-686</v>
      </c>
      <c r="G36" s="1">
        <f t="shared" si="6"/>
        <v>-2.5159999997413252E-2</v>
      </c>
      <c r="I36" s="1">
        <f t="shared" si="7"/>
        <v>-2.5159999997413252E-2</v>
      </c>
      <c r="O36" s="1">
        <f t="shared" ca="1" si="4"/>
        <v>-1.5493649957517393E-2</v>
      </c>
      <c r="Q36" s="41">
        <f t="shared" si="5"/>
        <v>30395.822999999997</v>
      </c>
    </row>
    <row r="37" spans="1:17" x14ac:dyDescent="0.2">
      <c r="A37" s="4" t="s">
        <v>47</v>
      </c>
      <c r="B37" s="5" t="s">
        <v>49</v>
      </c>
      <c r="C37" s="4">
        <v>45436.199000000001</v>
      </c>
      <c r="D37" s="3"/>
      <c r="E37" s="1">
        <f t="shared" si="0"/>
        <v>-662.51558402475905</v>
      </c>
      <c r="F37" s="1">
        <f t="shared" si="1"/>
        <v>-662.5</v>
      </c>
      <c r="G37" s="1">
        <f t="shared" si="6"/>
        <v>-1.4499999997497071E-2</v>
      </c>
      <c r="I37" s="1">
        <f t="shared" si="7"/>
        <v>-1.4499999997497071E-2</v>
      </c>
      <c r="O37" s="1">
        <f t="shared" ca="1" si="4"/>
        <v>-1.5173286879878334E-2</v>
      </c>
      <c r="Q37" s="41">
        <f t="shared" si="5"/>
        <v>30417.699000000001</v>
      </c>
    </row>
    <row r="38" spans="1:17" x14ac:dyDescent="0.2">
      <c r="A38" s="4" t="s">
        <v>47</v>
      </c>
      <c r="B38" s="5" t="s">
        <v>45</v>
      </c>
      <c r="C38" s="4">
        <v>45436.654999999999</v>
      </c>
      <c r="D38" s="3"/>
      <c r="E38" s="1">
        <f t="shared" si="0"/>
        <v>-662.02549331498915</v>
      </c>
      <c r="F38" s="1">
        <f t="shared" si="1"/>
        <v>-662</v>
      </c>
      <c r="G38" s="1">
        <f t="shared" si="6"/>
        <v>-2.3719999997410923E-2</v>
      </c>
      <c r="I38" s="1">
        <f t="shared" si="7"/>
        <v>-2.3719999997410923E-2</v>
      </c>
      <c r="O38" s="1">
        <f t="shared" ca="1" si="4"/>
        <v>-1.5166470644183886E-2</v>
      </c>
      <c r="Q38" s="41">
        <f t="shared" si="5"/>
        <v>30418.154999999999</v>
      </c>
    </row>
    <row r="39" spans="1:17" x14ac:dyDescent="0.2">
      <c r="A39" s="4" t="s">
        <v>48</v>
      </c>
      <c r="B39" s="5" t="s">
        <v>45</v>
      </c>
      <c r="C39" s="4">
        <v>45440.368000000002</v>
      </c>
      <c r="E39" s="1">
        <f t="shared" si="0"/>
        <v>-658.03490821546268</v>
      </c>
      <c r="F39" s="1">
        <f t="shared" si="1"/>
        <v>-658</v>
      </c>
      <c r="G39" s="1">
        <f t="shared" si="6"/>
        <v>-3.2479999994393438E-2</v>
      </c>
      <c r="I39" s="1">
        <f t="shared" si="7"/>
        <v>-3.2479999994393438E-2</v>
      </c>
      <c r="O39" s="1">
        <f t="shared" ca="1" si="4"/>
        <v>-1.5111940758628302E-2</v>
      </c>
      <c r="Q39" s="41">
        <f t="shared" si="5"/>
        <v>30421.868000000002</v>
      </c>
    </row>
    <row r="40" spans="1:17" x14ac:dyDescent="0.2">
      <c r="A40" s="4" t="s">
        <v>48</v>
      </c>
      <c r="B40" s="5" t="s">
        <v>45</v>
      </c>
      <c r="C40" s="4">
        <v>45815.392</v>
      </c>
      <c r="E40" s="1">
        <f t="shared" si="0"/>
        <v>-254.97399080004894</v>
      </c>
      <c r="F40" s="1">
        <f t="shared" si="1"/>
        <v>-255</v>
      </c>
      <c r="G40" s="1">
        <f t="shared" si="6"/>
        <v>2.4199999999837019E-2</v>
      </c>
      <c r="I40" s="1">
        <f t="shared" si="7"/>
        <v>2.4199999999837019E-2</v>
      </c>
      <c r="O40" s="1">
        <f t="shared" ca="1" si="4"/>
        <v>-9.6180547889031555E-3</v>
      </c>
      <c r="Q40" s="41">
        <f t="shared" si="5"/>
        <v>30796.892</v>
      </c>
    </row>
    <row r="41" spans="1:17" x14ac:dyDescent="0.2">
      <c r="A41" s="1" t="s">
        <v>50</v>
      </c>
      <c r="C41" s="6">
        <v>46052.63</v>
      </c>
      <c r="D41" s="6" t="s">
        <v>16</v>
      </c>
      <c r="E41" s="1">
        <f t="shared" si="0"/>
        <v>0</v>
      </c>
      <c r="F41" s="1">
        <f t="shared" si="1"/>
        <v>0</v>
      </c>
      <c r="G41" s="1">
        <f t="shared" si="6"/>
        <v>0</v>
      </c>
      <c r="H41" s="1">
        <f>+G41</f>
        <v>0</v>
      </c>
      <c r="O41" s="1">
        <f t="shared" ca="1" si="4"/>
        <v>-6.1417745847346383E-3</v>
      </c>
      <c r="Q41" s="41">
        <f t="shared" si="5"/>
        <v>31034.129999999997</v>
      </c>
    </row>
    <row r="42" spans="1:17" x14ac:dyDescent="0.2">
      <c r="A42" s="4" t="s">
        <v>48</v>
      </c>
      <c r="B42" s="5" t="s">
        <v>45</v>
      </c>
      <c r="C42" s="4">
        <v>46052.633000000002</v>
      </c>
      <c r="E42" s="1">
        <f t="shared" si="0"/>
        <v>3.2242809899070968E-3</v>
      </c>
      <c r="F42" s="1">
        <f t="shared" si="1"/>
        <v>0</v>
      </c>
      <c r="G42" s="1">
        <f t="shared" si="6"/>
        <v>3.0000000042491592E-3</v>
      </c>
      <c r="I42" s="1">
        <f t="shared" ref="I42:I47" si="8">+G42</f>
        <v>3.0000000042491592E-3</v>
      </c>
      <c r="O42" s="1">
        <f t="shared" ca="1" si="4"/>
        <v>-6.1417745847346383E-3</v>
      </c>
      <c r="Q42" s="41">
        <f t="shared" si="5"/>
        <v>31034.133000000002</v>
      </c>
    </row>
    <row r="43" spans="1:17" x14ac:dyDescent="0.2">
      <c r="A43" s="4" t="s">
        <v>51</v>
      </c>
      <c r="B43" s="5" t="s">
        <v>45</v>
      </c>
      <c r="C43" s="4">
        <v>46109.392999999996</v>
      </c>
      <c r="E43" s="1">
        <f t="shared" si="0"/>
        <v>61.006620523622168</v>
      </c>
      <c r="F43" s="1">
        <f t="shared" si="1"/>
        <v>61</v>
      </c>
      <c r="G43" s="1">
        <f t="shared" si="6"/>
        <v>6.1599999971804209E-3</v>
      </c>
      <c r="I43" s="1">
        <f t="shared" si="8"/>
        <v>6.1599999971804209E-3</v>
      </c>
      <c r="O43" s="1">
        <f t="shared" ca="1" si="4"/>
        <v>-5.3101938300119736E-3</v>
      </c>
      <c r="Q43" s="41">
        <f t="shared" si="5"/>
        <v>31090.892999999996</v>
      </c>
    </row>
    <row r="44" spans="1:17" x14ac:dyDescent="0.2">
      <c r="A44" s="4" t="s">
        <v>51</v>
      </c>
      <c r="B44" s="5" t="s">
        <v>45</v>
      </c>
      <c r="C44" s="4">
        <v>46135.44</v>
      </c>
      <c r="E44" s="1">
        <f t="shared" si="0"/>
        <v>89.00090279868121</v>
      </c>
      <c r="F44" s="1">
        <f t="shared" si="1"/>
        <v>89</v>
      </c>
      <c r="G44" s="1">
        <f t="shared" si="6"/>
        <v>8.4000000788364559E-4</v>
      </c>
      <c r="I44" s="1">
        <f t="shared" si="8"/>
        <v>8.4000000788364559E-4</v>
      </c>
      <c r="O44" s="1">
        <f t="shared" ca="1" si="4"/>
        <v>-4.9284846311228817E-3</v>
      </c>
      <c r="Q44" s="41">
        <f t="shared" si="5"/>
        <v>31116.940000000002</v>
      </c>
    </row>
    <row r="45" spans="1:17" x14ac:dyDescent="0.2">
      <c r="A45" s="4" t="s">
        <v>51</v>
      </c>
      <c r="B45" s="5" t="s">
        <v>45</v>
      </c>
      <c r="C45" s="4">
        <v>46136.374000000003</v>
      </c>
      <c r="E45" s="1">
        <f t="shared" si="0"/>
        <v>90.004728945451674</v>
      </c>
      <c r="F45" s="1">
        <f t="shared" si="1"/>
        <v>90</v>
      </c>
      <c r="G45" s="1">
        <f t="shared" si="6"/>
        <v>4.4000000052619725E-3</v>
      </c>
      <c r="I45" s="1">
        <f t="shared" si="8"/>
        <v>4.4000000052619725E-3</v>
      </c>
      <c r="O45" s="1">
        <f t="shared" ca="1" si="4"/>
        <v>-4.9148521597339855E-3</v>
      </c>
      <c r="Q45" s="41">
        <f t="shared" si="5"/>
        <v>31117.874000000003</v>
      </c>
    </row>
    <row r="46" spans="1:17" x14ac:dyDescent="0.2">
      <c r="A46" s="4" t="s">
        <v>51</v>
      </c>
      <c r="B46" s="5" t="s">
        <v>45</v>
      </c>
      <c r="C46" s="4">
        <v>46444.37</v>
      </c>
      <c r="E46" s="1">
        <f t="shared" si="0"/>
        <v>421.02661106573794</v>
      </c>
      <c r="F46" s="1">
        <f t="shared" si="1"/>
        <v>421</v>
      </c>
      <c r="G46" s="1">
        <f t="shared" si="6"/>
        <v>2.4760000007518101E-2</v>
      </c>
      <c r="I46" s="1">
        <f t="shared" si="8"/>
        <v>2.4760000007518101E-2</v>
      </c>
      <c r="O46" s="1">
        <f t="shared" ca="1" si="4"/>
        <v>-4.0250413000936149E-4</v>
      </c>
      <c r="Q46" s="41">
        <f t="shared" si="5"/>
        <v>31425.870000000003</v>
      </c>
    </row>
    <row r="47" spans="1:17" x14ac:dyDescent="0.2">
      <c r="A47" s="4" t="s">
        <v>52</v>
      </c>
      <c r="B47" s="5" t="s">
        <v>45</v>
      </c>
      <c r="C47" s="4">
        <v>47206.366000000002</v>
      </c>
      <c r="E47" s="1">
        <f t="shared" si="0"/>
        <v>1239.9896823008517</v>
      </c>
      <c r="F47" s="1">
        <f t="shared" si="1"/>
        <v>1240</v>
      </c>
      <c r="G47" s="1">
        <f t="shared" si="6"/>
        <v>-9.5999999975902028E-3</v>
      </c>
      <c r="I47" s="1">
        <f t="shared" si="8"/>
        <v>-9.5999999975902028E-3</v>
      </c>
      <c r="O47" s="1">
        <f t="shared" ca="1" si="4"/>
        <v>1.076248993749658E-2</v>
      </c>
      <c r="Q47" s="41">
        <f t="shared" si="5"/>
        <v>32187.866000000002</v>
      </c>
    </row>
    <row r="48" spans="1:17" x14ac:dyDescent="0.2">
      <c r="A48" s="7" t="s">
        <v>53</v>
      </c>
      <c r="B48" s="8" t="s">
        <v>45</v>
      </c>
      <c r="C48" s="9">
        <v>52550.913800000002</v>
      </c>
      <c r="D48" s="10">
        <v>2.9999999999999997E-4</v>
      </c>
      <c r="E48" s="1">
        <f t="shared" si="0"/>
        <v>6984.097631228241</v>
      </c>
      <c r="F48" s="1">
        <f t="shared" si="1"/>
        <v>6984</v>
      </c>
      <c r="G48" s="1">
        <f t="shared" si="6"/>
        <v>9.0840000004391186E-2</v>
      </c>
      <c r="J48" s="1">
        <f>+G48</f>
        <v>9.0840000004391186E-2</v>
      </c>
      <c r="O48" s="1">
        <f t="shared" ca="1" si="4"/>
        <v>8.9067405595316035E-2</v>
      </c>
      <c r="Q48" s="41">
        <f t="shared" si="5"/>
        <v>37532.413800000002</v>
      </c>
    </row>
    <row r="49" spans="1:21" x14ac:dyDescent="0.2">
      <c r="A49" s="4" t="s">
        <v>54</v>
      </c>
      <c r="B49" s="5" t="s">
        <v>45</v>
      </c>
      <c r="C49" s="4">
        <v>52679.317499999997</v>
      </c>
      <c r="E49" s="1">
        <f t="shared" si="0"/>
        <v>7122.1008340140143</v>
      </c>
      <c r="F49" s="1">
        <f t="shared" si="1"/>
        <v>7122</v>
      </c>
      <c r="G49" s="1">
        <f t="shared" si="6"/>
        <v>9.382000000186963E-2</v>
      </c>
      <c r="K49" s="1">
        <f t="shared" ref="K49:K55" si="9">+G49</f>
        <v>9.382000000186963E-2</v>
      </c>
      <c r="O49" s="1">
        <f t="shared" ca="1" si="4"/>
        <v>9.0948686646983704E-2</v>
      </c>
      <c r="Q49" s="41">
        <f t="shared" si="5"/>
        <v>37660.817499999997</v>
      </c>
    </row>
    <row r="50" spans="1:21" x14ac:dyDescent="0.2">
      <c r="A50" s="4" t="s">
        <v>54</v>
      </c>
      <c r="B50" s="5" t="s">
        <v>49</v>
      </c>
      <c r="C50" s="4">
        <v>52679.775500000003</v>
      </c>
      <c r="E50" s="1">
        <f t="shared" si="0"/>
        <v>7122.5930742444498</v>
      </c>
      <c r="F50" s="1">
        <f t="shared" si="1"/>
        <v>7122.5</v>
      </c>
      <c r="G50" s="1">
        <f t="shared" si="6"/>
        <v>8.6600000009639189E-2</v>
      </c>
      <c r="K50" s="1">
        <f t="shared" si="9"/>
        <v>8.6600000009639189E-2</v>
      </c>
      <c r="O50" s="1">
        <f t="shared" ca="1" si="4"/>
        <v>9.0955502882678146E-2</v>
      </c>
      <c r="Q50" s="41">
        <f t="shared" si="5"/>
        <v>37661.275500000003</v>
      </c>
    </row>
    <row r="51" spans="1:21" x14ac:dyDescent="0.2">
      <c r="A51" s="4" t="s">
        <v>54</v>
      </c>
      <c r="B51" s="5" t="s">
        <v>45</v>
      </c>
      <c r="C51" s="4">
        <v>52680.246899999998</v>
      </c>
      <c r="E51" s="1">
        <f t="shared" si="0"/>
        <v>7123.0997162632739</v>
      </c>
      <c r="F51" s="1">
        <f t="shared" si="1"/>
        <v>7123</v>
      </c>
      <c r="G51" s="1">
        <f t="shared" si="6"/>
        <v>9.2779999999038409E-2</v>
      </c>
      <c r="K51" s="1">
        <f t="shared" si="9"/>
        <v>9.2779999999038409E-2</v>
      </c>
      <c r="O51" s="1">
        <f t="shared" ca="1" si="4"/>
        <v>9.0962319118372603E-2</v>
      </c>
      <c r="Q51" s="41">
        <f t="shared" si="5"/>
        <v>37661.746899999998</v>
      </c>
    </row>
    <row r="52" spans="1:21" x14ac:dyDescent="0.2">
      <c r="A52" s="4" t="s">
        <v>54</v>
      </c>
      <c r="B52" s="5" t="s">
        <v>45</v>
      </c>
      <c r="C52" s="4">
        <v>52681.175999999999</v>
      </c>
      <c r="E52" s="1">
        <f t="shared" si="0"/>
        <v>7124.0982760844354</v>
      </c>
      <c r="F52" s="1">
        <f t="shared" si="1"/>
        <v>7124</v>
      </c>
      <c r="G52" s="1">
        <f t="shared" si="6"/>
        <v>9.1440000003785826E-2</v>
      </c>
      <c r="K52" s="1">
        <f t="shared" si="9"/>
        <v>9.1440000003785826E-2</v>
      </c>
      <c r="O52" s="1">
        <f t="shared" ca="1" si="4"/>
        <v>9.0975951589761489E-2</v>
      </c>
      <c r="Q52" s="41">
        <f t="shared" si="5"/>
        <v>37662.675999999999</v>
      </c>
    </row>
    <row r="53" spans="1:21" x14ac:dyDescent="0.2">
      <c r="A53" s="4" t="s">
        <v>54</v>
      </c>
      <c r="B53" s="5" t="s">
        <v>49</v>
      </c>
      <c r="C53" s="4">
        <v>52681.633300000001</v>
      </c>
      <c r="E53" s="1">
        <f t="shared" si="0"/>
        <v>7124.5897639826362</v>
      </c>
      <c r="F53" s="1">
        <f t="shared" si="1"/>
        <v>7124.5</v>
      </c>
      <c r="G53" s="1">
        <f t="shared" si="6"/>
        <v>8.3520000000135042E-2</v>
      </c>
      <c r="K53" s="1">
        <f t="shared" si="9"/>
        <v>8.3520000000135042E-2</v>
      </c>
      <c r="O53" s="1">
        <f t="shared" ca="1" si="4"/>
        <v>9.0982767825455946E-2</v>
      </c>
      <c r="Q53" s="41">
        <f t="shared" si="5"/>
        <v>37663.133300000001</v>
      </c>
    </row>
    <row r="54" spans="1:21" x14ac:dyDescent="0.2">
      <c r="A54" s="4" t="s">
        <v>54</v>
      </c>
      <c r="B54" s="5" t="s">
        <v>45</v>
      </c>
      <c r="C54" s="4">
        <v>52688.621400000004</v>
      </c>
      <c r="E54" s="1">
        <f t="shared" si="0"/>
        <v>7132.1002966338574</v>
      </c>
      <c r="F54" s="1">
        <f t="shared" si="1"/>
        <v>7132</v>
      </c>
      <c r="G54" s="1">
        <f t="shared" si="6"/>
        <v>9.3320000007224735E-2</v>
      </c>
      <c r="K54" s="1">
        <f t="shared" si="9"/>
        <v>9.3320000007224735E-2</v>
      </c>
      <c r="O54" s="1">
        <f t="shared" ca="1" si="4"/>
        <v>9.1085011360872659E-2</v>
      </c>
      <c r="Q54" s="41">
        <f t="shared" si="5"/>
        <v>37670.121400000004</v>
      </c>
    </row>
    <row r="55" spans="1:21" x14ac:dyDescent="0.2">
      <c r="A55" s="4" t="s">
        <v>54</v>
      </c>
      <c r="B55" s="5" t="s">
        <v>45</v>
      </c>
      <c r="C55" s="4">
        <v>52690.478000000003</v>
      </c>
      <c r="E55" s="1">
        <f t="shared" si="0"/>
        <v>7134.0956966596505</v>
      </c>
      <c r="F55" s="1">
        <f t="shared" si="1"/>
        <v>7134</v>
      </c>
      <c r="G55" s="1">
        <f t="shared" si="6"/>
        <v>8.9040000006207265E-2</v>
      </c>
      <c r="K55" s="1">
        <f t="shared" si="9"/>
        <v>8.9040000006207265E-2</v>
      </c>
      <c r="O55" s="1">
        <f t="shared" ca="1" si="4"/>
        <v>9.1112276303650458E-2</v>
      </c>
      <c r="Q55" s="41">
        <f t="shared" si="5"/>
        <v>37671.978000000003</v>
      </c>
    </row>
    <row r="56" spans="1:21" x14ac:dyDescent="0.2">
      <c r="A56" s="11" t="s">
        <v>55</v>
      </c>
      <c r="B56" s="12"/>
      <c r="C56" s="13">
        <v>53387.389799999997</v>
      </c>
      <c r="D56" s="13">
        <v>4.0000000000000002E-4</v>
      </c>
      <c r="E56" s="1">
        <f t="shared" si="0"/>
        <v>7883.1088517260641</v>
      </c>
      <c r="F56" s="1">
        <f t="shared" si="1"/>
        <v>7883</v>
      </c>
      <c r="G56" s="1">
        <f t="shared" si="6"/>
        <v>0.10128000000258908</v>
      </c>
      <c r="J56" s="1">
        <f>+G56</f>
        <v>0.10128000000258908</v>
      </c>
      <c r="O56" s="1">
        <f t="shared" ca="1" si="4"/>
        <v>0.10132299737393366</v>
      </c>
      <c r="Q56" s="41">
        <f t="shared" si="5"/>
        <v>38368.889799999997</v>
      </c>
    </row>
    <row r="57" spans="1:21" x14ac:dyDescent="0.2">
      <c r="A57" s="14" t="s">
        <v>56</v>
      </c>
      <c r="B57" s="15" t="s">
        <v>45</v>
      </c>
      <c r="C57" s="14">
        <v>53458.615870000001</v>
      </c>
      <c r="D57" s="14">
        <v>8.0000000000000004E-4</v>
      </c>
      <c r="E57" s="1">
        <f t="shared" si="0"/>
        <v>7959.6598061132408</v>
      </c>
      <c r="F57" s="1">
        <f t="shared" si="1"/>
        <v>7959.5</v>
      </c>
      <c r="O57" s="1">
        <f t="shared" ca="1" si="4"/>
        <v>0.10236588143518423</v>
      </c>
      <c r="Q57" s="41">
        <f t="shared" si="5"/>
        <v>38440.115870000001</v>
      </c>
      <c r="U57" s="2">
        <v>0.14869000000180677</v>
      </c>
    </row>
    <row r="58" spans="1:21" x14ac:dyDescent="0.2">
      <c r="A58" s="14" t="s">
        <v>56</v>
      </c>
      <c r="B58" s="15" t="s">
        <v>45</v>
      </c>
      <c r="C58" s="14">
        <v>53673.489800000003</v>
      </c>
      <c r="D58" s="14">
        <v>3.0999999999999999E-3</v>
      </c>
      <c r="E58" s="1">
        <f t="shared" si="0"/>
        <v>8190.5977816946879</v>
      </c>
      <c r="F58" s="1">
        <f t="shared" si="1"/>
        <v>8190.5</v>
      </c>
      <c r="O58" s="1">
        <f t="shared" ca="1" si="4"/>
        <v>0.10551498232601923</v>
      </c>
      <c r="Q58" s="41">
        <f t="shared" si="5"/>
        <v>38654.989800000003</v>
      </c>
      <c r="U58" s="2">
        <v>9.0980000008130446E-2</v>
      </c>
    </row>
    <row r="59" spans="1:21" x14ac:dyDescent="0.2">
      <c r="A59" s="16" t="s">
        <v>57</v>
      </c>
      <c r="B59" s="17"/>
      <c r="C59" s="13">
        <v>53716.7693</v>
      </c>
      <c r="D59" s="10">
        <v>2.9999999999999997E-4</v>
      </c>
      <c r="E59" s="1">
        <f t="shared" si="0"/>
        <v>8237.1128713296966</v>
      </c>
      <c r="F59" s="1">
        <f t="shared" si="1"/>
        <v>8237</v>
      </c>
      <c r="G59" s="1">
        <f t="shared" ref="G59:G65" si="10">+C59-(C$7+F59*C$8)</f>
        <v>0.10502000000269618</v>
      </c>
      <c r="K59" s="1">
        <f t="shared" ref="K59:K66" si="11">+G59</f>
        <v>0.10502000000269618</v>
      </c>
      <c r="O59" s="1">
        <f t="shared" ca="1" si="4"/>
        <v>0.10614889224560291</v>
      </c>
      <c r="Q59" s="41">
        <f t="shared" si="5"/>
        <v>38698.2693</v>
      </c>
    </row>
    <row r="60" spans="1:21" x14ac:dyDescent="0.2">
      <c r="A60" s="14" t="s">
        <v>56</v>
      </c>
      <c r="B60" s="15" t="s">
        <v>45</v>
      </c>
      <c r="C60" s="14">
        <v>53750.265509999997</v>
      </c>
      <c r="D60" s="14">
        <v>2.9999999999999997E-4</v>
      </c>
      <c r="E60" s="1">
        <f t="shared" si="0"/>
        <v>8273.1132689910155</v>
      </c>
      <c r="F60" s="1">
        <f t="shared" si="1"/>
        <v>8273</v>
      </c>
      <c r="G60" s="1">
        <f t="shared" si="10"/>
        <v>0.10538999999698717</v>
      </c>
      <c r="K60" s="1">
        <f t="shared" si="11"/>
        <v>0.10538999999698717</v>
      </c>
      <c r="O60" s="1">
        <f t="shared" ca="1" si="4"/>
        <v>0.10663966121560316</v>
      </c>
      <c r="Q60" s="41">
        <f t="shared" si="5"/>
        <v>38731.765509999997</v>
      </c>
    </row>
    <row r="61" spans="1:21" x14ac:dyDescent="0.2">
      <c r="A61" s="13" t="s">
        <v>58</v>
      </c>
      <c r="B61" s="18" t="s">
        <v>45</v>
      </c>
      <c r="C61" s="13">
        <v>54055.451399999998</v>
      </c>
      <c r="D61" s="13">
        <v>3.8999999999999998E-3</v>
      </c>
      <c r="E61" s="1">
        <f t="shared" si="0"/>
        <v>8601.1149563647305</v>
      </c>
      <c r="F61" s="1">
        <f t="shared" si="1"/>
        <v>8601</v>
      </c>
      <c r="G61" s="1">
        <f t="shared" si="10"/>
        <v>0.1069599999973434</v>
      </c>
      <c r="K61" s="1">
        <f t="shared" si="11"/>
        <v>0.1069599999973434</v>
      </c>
      <c r="O61" s="1">
        <f t="shared" ca="1" si="4"/>
        <v>0.1111111118311611</v>
      </c>
      <c r="Q61" s="41">
        <f t="shared" si="5"/>
        <v>39036.951399999998</v>
      </c>
    </row>
    <row r="62" spans="1:21" x14ac:dyDescent="0.2">
      <c r="A62" s="13" t="s">
        <v>59</v>
      </c>
      <c r="B62" s="19" t="s">
        <v>45</v>
      </c>
      <c r="C62" s="13">
        <v>54862.621400000004</v>
      </c>
      <c r="D62" s="13">
        <v>2E-3</v>
      </c>
      <c r="E62" s="1">
        <f t="shared" si="0"/>
        <v>9468.629250677106</v>
      </c>
      <c r="F62" s="1">
        <f t="shared" si="1"/>
        <v>9468.5</v>
      </c>
      <c r="G62" s="1">
        <f t="shared" si="10"/>
        <v>0.12026000000332715</v>
      </c>
      <c r="K62" s="1">
        <f t="shared" si="11"/>
        <v>0.12026000000332715</v>
      </c>
      <c r="O62" s="1">
        <f t="shared" ca="1" si="4"/>
        <v>0.1229372807610285</v>
      </c>
      <c r="Q62" s="41">
        <f t="shared" si="5"/>
        <v>39844.121400000004</v>
      </c>
    </row>
    <row r="63" spans="1:21" x14ac:dyDescent="0.2">
      <c r="A63" s="7" t="s">
        <v>60</v>
      </c>
      <c r="B63" s="20" t="s">
        <v>45</v>
      </c>
      <c r="C63" s="7">
        <v>55139.895600000003</v>
      </c>
      <c r="D63" s="7">
        <v>5.0000000000000001E-4</v>
      </c>
      <c r="E63" s="1">
        <f t="shared" si="0"/>
        <v>9766.6325609389169</v>
      </c>
      <c r="F63" s="1">
        <f t="shared" si="1"/>
        <v>9766.5</v>
      </c>
      <c r="G63" s="1">
        <f t="shared" si="10"/>
        <v>0.12334000000555534</v>
      </c>
      <c r="K63" s="1">
        <f t="shared" si="11"/>
        <v>0.12334000000555534</v>
      </c>
      <c r="O63" s="1">
        <f t="shared" ca="1" si="4"/>
        <v>0.12699975723491955</v>
      </c>
      <c r="Q63" s="41">
        <f t="shared" si="5"/>
        <v>40121.395600000003</v>
      </c>
    </row>
    <row r="64" spans="1:21" x14ac:dyDescent="0.2">
      <c r="A64" s="21" t="s">
        <v>61</v>
      </c>
      <c r="B64" s="22" t="s">
        <v>45</v>
      </c>
      <c r="C64" s="23">
        <v>55527.892500000002</v>
      </c>
      <c r="D64" s="23">
        <v>5.0000000000000001E-4</v>
      </c>
      <c r="E64" s="1">
        <f t="shared" si="0"/>
        <v>10183.636236619239</v>
      </c>
      <c r="F64" s="1">
        <f t="shared" si="1"/>
        <v>10183.5</v>
      </c>
      <c r="G64" s="1">
        <f t="shared" si="10"/>
        <v>0.12676000000647036</v>
      </c>
      <c r="K64" s="1">
        <f t="shared" si="11"/>
        <v>0.12676000000647036</v>
      </c>
      <c r="O64" s="1">
        <f t="shared" ca="1" si="4"/>
        <v>0.13268449780408925</v>
      </c>
      <c r="Q64" s="41">
        <f t="shared" si="5"/>
        <v>40509.392500000002</v>
      </c>
    </row>
    <row r="65" spans="1:17" x14ac:dyDescent="0.2">
      <c r="A65" s="24" t="s">
        <v>62</v>
      </c>
      <c r="B65" s="25" t="s">
        <v>45</v>
      </c>
      <c r="C65" s="24">
        <v>56725.4061</v>
      </c>
      <c r="D65" s="24">
        <v>3.8999999999999998E-3</v>
      </c>
      <c r="E65" s="1">
        <f t="shared" si="0"/>
        <v>11470.676346674694</v>
      </c>
      <c r="F65" s="1">
        <f t="shared" si="1"/>
        <v>11470.5</v>
      </c>
      <c r="G65" s="1">
        <f t="shared" si="10"/>
        <v>0.1640800000022864</v>
      </c>
      <c r="K65" s="1">
        <f t="shared" si="11"/>
        <v>0.1640800000022864</v>
      </c>
      <c r="O65" s="1">
        <f t="shared" ca="1" si="4"/>
        <v>0.15022948848159859</v>
      </c>
      <c r="Q65" s="41">
        <f t="shared" si="5"/>
        <v>41706.9061</v>
      </c>
    </row>
    <row r="66" spans="1:17" x14ac:dyDescent="0.2">
      <c r="A66" s="26" t="s">
        <v>63</v>
      </c>
      <c r="B66" s="27" t="s">
        <v>49</v>
      </c>
      <c r="C66" s="26">
        <v>57385.075599999996</v>
      </c>
      <c r="D66" s="26" t="s">
        <v>64</v>
      </c>
      <c r="E66" s="1">
        <f>+(C66-C$7)/C$8</f>
        <v>12179.662955160997</v>
      </c>
      <c r="F66" s="1">
        <f t="shared" si="1"/>
        <v>12179.5</v>
      </c>
      <c r="G66" s="1">
        <f>+C66-(C$7+F66*C$8)</f>
        <v>0.15161999999691034</v>
      </c>
      <c r="K66" s="1">
        <f t="shared" si="11"/>
        <v>0.15161999999691034</v>
      </c>
      <c r="O66" s="1">
        <f ca="1">+C$11+C$12*$F66</f>
        <v>0.15989491069632594</v>
      </c>
      <c r="Q66" s="41">
        <f>+C66-15018.5</f>
        <v>42366.575599999996</v>
      </c>
    </row>
    <row r="67" spans="1:17" x14ac:dyDescent="0.2">
      <c r="A67" s="28" t="s">
        <v>65</v>
      </c>
      <c r="B67" s="27" t="s">
        <v>45</v>
      </c>
      <c r="C67" s="26">
        <v>58178.284949999768</v>
      </c>
      <c r="D67" s="26">
        <v>5.0000000000000001E-4</v>
      </c>
      <c r="E67" s="1">
        <f>+(C67-C$7)/C$8</f>
        <v>13032.17289669379</v>
      </c>
      <c r="F67" s="1">
        <f>ROUND(2*E67,0)/2</f>
        <v>13032</v>
      </c>
      <c r="G67" s="1">
        <f>+C67-(C$7+F67*C$8)</f>
        <v>0.16086999977414962</v>
      </c>
      <c r="K67" s="1">
        <f>+G67</f>
        <v>0.16086999977414962</v>
      </c>
      <c r="O67" s="1">
        <f ca="1">+C$11+C$12*$F67</f>
        <v>0.17151659255535992</v>
      </c>
      <c r="Q67" s="41">
        <f>+C67-15018.5</f>
        <v>43159.784949999768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3" workbookViewId="0">
      <selection activeCell="A22" sqref="A22"/>
    </sheetView>
  </sheetViews>
  <sheetFormatPr defaultRowHeight="12.75" x14ac:dyDescent="0.2"/>
  <cols>
    <col min="1" max="1" width="19.7109375" style="6" customWidth="1"/>
    <col min="2" max="2" width="4.42578125" customWidth="1"/>
    <col min="3" max="3" width="12.7109375" style="6" customWidth="1"/>
    <col min="4" max="4" width="5.42578125" customWidth="1"/>
    <col min="5" max="5" width="14.85546875" customWidth="1"/>
    <col min="7" max="7" width="12" customWidth="1"/>
    <col min="8" max="8" width="14.140625" style="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29" t="s">
        <v>66</v>
      </c>
      <c r="I1" s="30" t="s">
        <v>67</v>
      </c>
      <c r="J1" s="31" t="s">
        <v>36</v>
      </c>
    </row>
    <row r="2" spans="1:16" x14ac:dyDescent="0.2">
      <c r="I2" s="32" t="s">
        <v>68</v>
      </c>
      <c r="J2" s="33" t="s">
        <v>35</v>
      </c>
    </row>
    <row r="3" spans="1:16" x14ac:dyDescent="0.2">
      <c r="A3" s="34" t="s">
        <v>69</v>
      </c>
      <c r="I3" s="32" t="s">
        <v>70</v>
      </c>
      <c r="J3" s="33" t="s">
        <v>33</v>
      </c>
    </row>
    <row r="4" spans="1:16" x14ac:dyDescent="0.2">
      <c r="I4" s="32" t="s">
        <v>71</v>
      </c>
      <c r="J4" s="33" t="s">
        <v>33</v>
      </c>
    </row>
    <row r="5" spans="1:16" x14ac:dyDescent="0.2">
      <c r="I5" s="35" t="s">
        <v>64</v>
      </c>
      <c r="J5" s="36" t="s">
        <v>34</v>
      </c>
    </row>
    <row r="11" spans="1:16" ht="12.75" customHeight="1" x14ac:dyDescent="0.2">
      <c r="A11" s="6" t="str">
        <f t="shared" ref="A11:A50" si="0">P11</f>
        <v> JBAA 96.99 </v>
      </c>
      <c r="B11" s="3" t="str">
        <f t="shared" ref="B11:B50" si="1">IF(H11=INT(H11),"I","II")</f>
        <v>I</v>
      </c>
      <c r="C11" s="6">
        <f t="shared" ref="C11:C50" si="2">1*G11</f>
        <v>45014.27</v>
      </c>
      <c r="D11" t="str">
        <f t="shared" ref="D11:D50" si="3">VLOOKUP(F11,I$1:J$5,2,FALSE)</f>
        <v>vis</v>
      </c>
      <c r="E11">
        <f>VLOOKUP(C11,Active!C$21:E$973,3,FALSE)</f>
        <v>-1115.9881346459745</v>
      </c>
      <c r="F11" s="3" t="s">
        <v>64</v>
      </c>
      <c r="G11" t="str">
        <f t="shared" ref="G11:G50" si="4">MID(I11,3,LEN(I11)-3)</f>
        <v>45014.27</v>
      </c>
      <c r="H11" s="6">
        <f t="shared" ref="H11:H50" si="5">1*K11</f>
        <v>-1116</v>
      </c>
      <c r="I11" s="37" t="s">
        <v>72</v>
      </c>
      <c r="J11" s="38" t="s">
        <v>73</v>
      </c>
      <c r="K11" s="37">
        <v>-1116</v>
      </c>
      <c r="L11" s="37" t="s">
        <v>74</v>
      </c>
      <c r="M11" s="38" t="s">
        <v>75</v>
      </c>
      <c r="N11" s="38"/>
      <c r="O11" s="39" t="s">
        <v>76</v>
      </c>
      <c r="P11" s="39" t="s">
        <v>77</v>
      </c>
    </row>
    <row r="12" spans="1:16" ht="12.75" customHeight="1" x14ac:dyDescent="0.2">
      <c r="A12" s="6" t="str">
        <f t="shared" si="0"/>
        <v> JBAA 96.99 </v>
      </c>
      <c r="B12" s="3" t="str">
        <f t="shared" si="1"/>
        <v>I</v>
      </c>
      <c r="C12" s="6">
        <f t="shared" si="2"/>
        <v>45040.3</v>
      </c>
      <c r="D12" t="str">
        <f t="shared" si="3"/>
        <v>vis</v>
      </c>
      <c r="E12">
        <f>VLOOKUP(C12,Active!C$21:E$973,3,FALSE)</f>
        <v>-1088.0121232964989</v>
      </c>
      <c r="F12" s="3" t="s">
        <v>64</v>
      </c>
      <c r="G12" t="str">
        <f t="shared" si="4"/>
        <v>45040.30</v>
      </c>
      <c r="H12" s="6">
        <f t="shared" si="5"/>
        <v>-1088</v>
      </c>
      <c r="I12" s="37" t="s">
        <v>78</v>
      </c>
      <c r="J12" s="38" t="s">
        <v>79</v>
      </c>
      <c r="K12" s="37">
        <v>-1088</v>
      </c>
      <c r="L12" s="37" t="s">
        <v>80</v>
      </c>
      <c r="M12" s="38" t="s">
        <v>75</v>
      </c>
      <c r="N12" s="38"/>
      <c r="O12" s="39" t="s">
        <v>76</v>
      </c>
      <c r="P12" s="39" t="s">
        <v>77</v>
      </c>
    </row>
    <row r="13" spans="1:16" ht="12.75" customHeight="1" x14ac:dyDescent="0.2">
      <c r="A13" s="6" t="str">
        <f t="shared" si="0"/>
        <v>IBVS 5378 </v>
      </c>
      <c r="B13" s="3" t="str">
        <f t="shared" si="1"/>
        <v>I</v>
      </c>
      <c r="C13" s="6">
        <f t="shared" si="2"/>
        <v>52550.913800000002</v>
      </c>
      <c r="D13" t="str">
        <f t="shared" si="3"/>
        <v>vis</v>
      </c>
      <c r="E13">
        <f>VLOOKUP(C13,Active!C$21:E$973,3,FALSE)</f>
        <v>6984.097631228241</v>
      </c>
      <c r="F13" s="3" t="s">
        <v>64</v>
      </c>
      <c r="G13" t="str">
        <f t="shared" si="4"/>
        <v>52550.9138</v>
      </c>
      <c r="H13" s="6">
        <f t="shared" si="5"/>
        <v>6984</v>
      </c>
      <c r="I13" s="37" t="s">
        <v>81</v>
      </c>
      <c r="J13" s="38" t="s">
        <v>82</v>
      </c>
      <c r="K13" s="37">
        <v>6984</v>
      </c>
      <c r="L13" s="37" t="s">
        <v>83</v>
      </c>
      <c r="M13" s="38" t="s">
        <v>84</v>
      </c>
      <c r="N13" s="38" t="s">
        <v>85</v>
      </c>
      <c r="O13" s="39" t="s">
        <v>86</v>
      </c>
      <c r="P13" s="40" t="s">
        <v>87</v>
      </c>
    </row>
    <row r="14" spans="1:16" ht="12.75" customHeight="1" x14ac:dyDescent="0.2">
      <c r="A14" s="6" t="str">
        <f t="shared" si="0"/>
        <v>BAVM 178 </v>
      </c>
      <c r="B14" s="3" t="str">
        <f t="shared" si="1"/>
        <v>I</v>
      </c>
      <c r="C14" s="6">
        <f t="shared" si="2"/>
        <v>53387.389799999997</v>
      </c>
      <c r="D14" t="str">
        <f t="shared" si="3"/>
        <v>vis</v>
      </c>
      <c r="E14">
        <f>VLOOKUP(C14,Active!C$21:E$973,3,FALSE)</f>
        <v>7883.1088517260641</v>
      </c>
      <c r="F14" s="3" t="s">
        <v>64</v>
      </c>
      <c r="G14" t="str">
        <f t="shared" si="4"/>
        <v>53387.3898</v>
      </c>
      <c r="H14" s="6">
        <f t="shared" si="5"/>
        <v>7883</v>
      </c>
      <c r="I14" s="37" t="s">
        <v>88</v>
      </c>
      <c r="J14" s="38" t="s">
        <v>89</v>
      </c>
      <c r="K14" s="37">
        <v>7883</v>
      </c>
      <c r="L14" s="37" t="s">
        <v>90</v>
      </c>
      <c r="M14" s="38" t="s">
        <v>91</v>
      </c>
      <c r="N14" s="38" t="s">
        <v>92</v>
      </c>
      <c r="O14" s="39" t="s">
        <v>93</v>
      </c>
      <c r="P14" s="40" t="s">
        <v>94</v>
      </c>
    </row>
    <row r="15" spans="1:16" ht="12.75" customHeight="1" x14ac:dyDescent="0.2">
      <c r="A15" s="6" t="str">
        <f t="shared" si="0"/>
        <v>IBVS 5672 </v>
      </c>
      <c r="B15" s="3" t="str">
        <f t="shared" si="1"/>
        <v>I</v>
      </c>
      <c r="C15" s="6">
        <f t="shared" si="2"/>
        <v>53716.7693</v>
      </c>
      <c r="D15" t="str">
        <f t="shared" si="3"/>
        <v>vis</v>
      </c>
      <c r="E15">
        <f>VLOOKUP(C15,Active!C$21:E$973,3,FALSE)</f>
        <v>8237.1128713296966</v>
      </c>
      <c r="F15" s="3" t="s">
        <v>64</v>
      </c>
      <c r="G15" t="str">
        <f t="shared" si="4"/>
        <v>53716.7693</v>
      </c>
      <c r="H15" s="6">
        <f t="shared" si="5"/>
        <v>8237</v>
      </c>
      <c r="I15" s="37" t="s">
        <v>95</v>
      </c>
      <c r="J15" s="38" t="s">
        <v>96</v>
      </c>
      <c r="K15" s="37" t="s">
        <v>97</v>
      </c>
      <c r="L15" s="37" t="s">
        <v>98</v>
      </c>
      <c r="M15" s="38" t="s">
        <v>84</v>
      </c>
      <c r="N15" s="38" t="s">
        <v>85</v>
      </c>
      <c r="O15" s="39" t="s">
        <v>99</v>
      </c>
      <c r="P15" s="40" t="s">
        <v>100</v>
      </c>
    </row>
    <row r="16" spans="1:16" ht="12.75" customHeight="1" x14ac:dyDescent="0.2">
      <c r="A16" s="6" t="str">
        <f t="shared" si="0"/>
        <v>OEJV 0074 </v>
      </c>
      <c r="B16" s="3" t="str">
        <f t="shared" si="1"/>
        <v>I</v>
      </c>
      <c r="C16" s="6">
        <f t="shared" si="2"/>
        <v>53750.265509999997</v>
      </c>
      <c r="D16" t="str">
        <f t="shared" si="3"/>
        <v>vis</v>
      </c>
      <c r="E16">
        <f>VLOOKUP(C16,Active!C$21:E$973,3,FALSE)</f>
        <v>8273.1132689910155</v>
      </c>
      <c r="F16" s="3" t="s">
        <v>64</v>
      </c>
      <c r="G16" t="str">
        <f t="shared" si="4"/>
        <v>53750.26551</v>
      </c>
      <c r="H16" s="6">
        <f t="shared" si="5"/>
        <v>8273</v>
      </c>
      <c r="I16" s="37" t="s">
        <v>101</v>
      </c>
      <c r="J16" s="38" t="s">
        <v>102</v>
      </c>
      <c r="K16" s="37" t="s">
        <v>103</v>
      </c>
      <c r="L16" s="37" t="s">
        <v>104</v>
      </c>
      <c r="M16" s="38" t="s">
        <v>91</v>
      </c>
      <c r="N16" s="38" t="s">
        <v>105</v>
      </c>
      <c r="O16" s="39" t="s">
        <v>106</v>
      </c>
      <c r="P16" s="40" t="s">
        <v>107</v>
      </c>
    </row>
    <row r="17" spans="1:16" ht="12.75" customHeight="1" x14ac:dyDescent="0.2">
      <c r="A17" s="6" t="str">
        <f t="shared" si="0"/>
        <v>BAVM 183 </v>
      </c>
      <c r="B17" s="3" t="str">
        <f t="shared" si="1"/>
        <v>I</v>
      </c>
      <c r="C17" s="6">
        <f t="shared" si="2"/>
        <v>54055.451399999998</v>
      </c>
      <c r="D17" t="str">
        <f t="shared" si="3"/>
        <v>vis</v>
      </c>
      <c r="E17">
        <f>VLOOKUP(C17,Active!C$21:E$973,3,FALSE)</f>
        <v>8601.1149563647305</v>
      </c>
      <c r="F17" s="3" t="s">
        <v>64</v>
      </c>
      <c r="G17" t="str">
        <f t="shared" si="4"/>
        <v>54055.4514</v>
      </c>
      <c r="H17" s="6">
        <f t="shared" si="5"/>
        <v>8601</v>
      </c>
      <c r="I17" s="37" t="s">
        <v>108</v>
      </c>
      <c r="J17" s="38" t="s">
        <v>109</v>
      </c>
      <c r="K17" s="37" t="s">
        <v>110</v>
      </c>
      <c r="L17" s="37" t="s">
        <v>111</v>
      </c>
      <c r="M17" s="38" t="s">
        <v>91</v>
      </c>
      <c r="N17" s="38" t="s">
        <v>112</v>
      </c>
      <c r="O17" s="39" t="s">
        <v>113</v>
      </c>
      <c r="P17" s="40" t="s">
        <v>114</v>
      </c>
    </row>
    <row r="18" spans="1:16" ht="12.75" customHeight="1" x14ac:dyDescent="0.2">
      <c r="A18" s="6" t="str">
        <f t="shared" si="0"/>
        <v>IBVS 5894 </v>
      </c>
      <c r="B18" s="3" t="str">
        <f t="shared" si="1"/>
        <v>II</v>
      </c>
      <c r="C18" s="6">
        <f t="shared" si="2"/>
        <v>54862.621400000004</v>
      </c>
      <c r="D18" t="str">
        <f t="shared" si="3"/>
        <v>vis</v>
      </c>
      <c r="E18">
        <f>VLOOKUP(C18,Active!C$21:E$973,3,FALSE)</f>
        <v>9468.629250677106</v>
      </c>
      <c r="F18" s="3" t="s">
        <v>64</v>
      </c>
      <c r="G18" t="str">
        <f t="shared" si="4"/>
        <v>54862.6214</v>
      </c>
      <c r="H18" s="6">
        <f t="shared" si="5"/>
        <v>9468.5</v>
      </c>
      <c r="I18" s="37" t="s">
        <v>115</v>
      </c>
      <c r="J18" s="38" t="s">
        <v>116</v>
      </c>
      <c r="K18" s="37" t="s">
        <v>117</v>
      </c>
      <c r="L18" s="37" t="s">
        <v>118</v>
      </c>
      <c r="M18" s="38" t="s">
        <v>91</v>
      </c>
      <c r="N18" s="38" t="s">
        <v>64</v>
      </c>
      <c r="O18" s="39" t="s">
        <v>119</v>
      </c>
      <c r="P18" s="40" t="s">
        <v>120</v>
      </c>
    </row>
    <row r="19" spans="1:16" ht="12.75" customHeight="1" x14ac:dyDescent="0.2">
      <c r="A19" s="6" t="str">
        <f t="shared" si="0"/>
        <v>IBVS 5920 </v>
      </c>
      <c r="B19" s="3" t="str">
        <f t="shared" si="1"/>
        <v>II</v>
      </c>
      <c r="C19" s="6">
        <f t="shared" si="2"/>
        <v>55139.895600000003</v>
      </c>
      <c r="D19" t="str">
        <f t="shared" si="3"/>
        <v>vis</v>
      </c>
      <c r="E19">
        <f>VLOOKUP(C19,Active!C$21:E$973,3,FALSE)</f>
        <v>9766.6325609389169</v>
      </c>
      <c r="F19" s="3" t="s">
        <v>64</v>
      </c>
      <c r="G19" t="str">
        <f t="shared" si="4"/>
        <v>55139.8956</v>
      </c>
      <c r="H19" s="6">
        <f t="shared" si="5"/>
        <v>9766.5</v>
      </c>
      <c r="I19" s="37" t="s">
        <v>121</v>
      </c>
      <c r="J19" s="38" t="s">
        <v>122</v>
      </c>
      <c r="K19" s="37" t="s">
        <v>123</v>
      </c>
      <c r="L19" s="37" t="s">
        <v>124</v>
      </c>
      <c r="M19" s="38" t="s">
        <v>91</v>
      </c>
      <c r="N19" s="38" t="s">
        <v>64</v>
      </c>
      <c r="O19" s="39" t="s">
        <v>119</v>
      </c>
      <c r="P19" s="40" t="s">
        <v>125</v>
      </c>
    </row>
    <row r="20" spans="1:16" ht="12.75" customHeight="1" x14ac:dyDescent="0.2">
      <c r="A20" s="6" t="str">
        <f t="shared" si="0"/>
        <v>IBVS 5960 </v>
      </c>
      <c r="B20" s="3" t="str">
        <f t="shared" si="1"/>
        <v>II</v>
      </c>
      <c r="C20" s="6">
        <f t="shared" si="2"/>
        <v>55527.892500000002</v>
      </c>
      <c r="D20" t="str">
        <f t="shared" si="3"/>
        <v>vis</v>
      </c>
      <c r="E20">
        <f>VLOOKUP(C20,Active!C$21:E$973,3,FALSE)</f>
        <v>10183.636236619239</v>
      </c>
      <c r="F20" s="3" t="s">
        <v>64</v>
      </c>
      <c r="G20" t="str">
        <f t="shared" si="4"/>
        <v>55527.8925</v>
      </c>
      <c r="H20" s="6">
        <f t="shared" si="5"/>
        <v>10183.5</v>
      </c>
      <c r="I20" s="37" t="s">
        <v>126</v>
      </c>
      <c r="J20" s="38" t="s">
        <v>127</v>
      </c>
      <c r="K20" s="37" t="s">
        <v>128</v>
      </c>
      <c r="L20" s="37" t="s">
        <v>129</v>
      </c>
      <c r="M20" s="38" t="s">
        <v>91</v>
      </c>
      <c r="N20" s="38" t="s">
        <v>64</v>
      </c>
      <c r="O20" s="39" t="s">
        <v>119</v>
      </c>
      <c r="P20" s="40" t="s">
        <v>130</v>
      </c>
    </row>
    <row r="21" spans="1:16" ht="12.75" customHeight="1" x14ac:dyDescent="0.2">
      <c r="A21" s="6" t="str">
        <f t="shared" si="0"/>
        <v>BAVM 238 </v>
      </c>
      <c r="B21" s="3" t="str">
        <f t="shared" si="1"/>
        <v>II</v>
      </c>
      <c r="C21" s="6">
        <f t="shared" si="2"/>
        <v>56725.4061</v>
      </c>
      <c r="D21" t="str">
        <f t="shared" si="3"/>
        <v>vis</v>
      </c>
      <c r="E21">
        <f>VLOOKUP(C21,Active!C$21:E$973,3,FALSE)</f>
        <v>11470.676346674694</v>
      </c>
      <c r="F21" s="3" t="s">
        <v>64</v>
      </c>
      <c r="G21" t="str">
        <f t="shared" si="4"/>
        <v>56725.4061</v>
      </c>
      <c r="H21" s="6">
        <f t="shared" si="5"/>
        <v>11470.5</v>
      </c>
      <c r="I21" s="37" t="s">
        <v>131</v>
      </c>
      <c r="J21" s="38" t="s">
        <v>132</v>
      </c>
      <c r="K21" s="37" t="s">
        <v>133</v>
      </c>
      <c r="L21" s="37" t="s">
        <v>134</v>
      </c>
      <c r="M21" s="38" t="s">
        <v>91</v>
      </c>
      <c r="N21" s="38" t="s">
        <v>112</v>
      </c>
      <c r="O21" s="39" t="s">
        <v>135</v>
      </c>
      <c r="P21" s="40" t="s">
        <v>136</v>
      </c>
    </row>
    <row r="22" spans="1:16" ht="12.75" customHeight="1" x14ac:dyDescent="0.2">
      <c r="A22" s="6" t="str">
        <f t="shared" si="0"/>
        <v> MHAR 20.12 </v>
      </c>
      <c r="B22" s="3" t="str">
        <f t="shared" si="1"/>
        <v>I</v>
      </c>
      <c r="C22" s="6">
        <f t="shared" si="2"/>
        <v>36904.436999999998</v>
      </c>
      <c r="D22" t="str">
        <f t="shared" si="3"/>
        <v>vis</v>
      </c>
      <c r="E22">
        <f>VLOOKUP(C22,Active!C$21:E$973,3,FALSE)</f>
        <v>-9832.1149133743165</v>
      </c>
      <c r="F22" s="3" t="s">
        <v>64</v>
      </c>
      <c r="G22" t="str">
        <f t="shared" si="4"/>
        <v>36904.437</v>
      </c>
      <c r="H22" s="6">
        <f t="shared" si="5"/>
        <v>-9832</v>
      </c>
      <c r="I22" s="37" t="s">
        <v>137</v>
      </c>
      <c r="J22" s="38" t="s">
        <v>138</v>
      </c>
      <c r="K22" s="37">
        <v>-9832</v>
      </c>
      <c r="L22" s="37" t="s">
        <v>139</v>
      </c>
      <c r="M22" s="38" t="s">
        <v>140</v>
      </c>
      <c r="N22" s="38"/>
      <c r="O22" s="39" t="s">
        <v>141</v>
      </c>
      <c r="P22" s="39" t="s">
        <v>44</v>
      </c>
    </row>
    <row r="23" spans="1:16" ht="12.75" customHeight="1" x14ac:dyDescent="0.2">
      <c r="A23" s="6" t="str">
        <f t="shared" si="0"/>
        <v> MHAR 20.12 </v>
      </c>
      <c r="B23" s="3" t="str">
        <f t="shared" si="1"/>
        <v>I</v>
      </c>
      <c r="C23" s="6">
        <f t="shared" si="2"/>
        <v>36957.402999999998</v>
      </c>
      <c r="D23" t="str">
        <f t="shared" si="3"/>
        <v>vis</v>
      </c>
      <c r="E23">
        <f>VLOOKUP(C23,Active!C$21:E$973,3,FALSE)</f>
        <v>-9775.1891578178056</v>
      </c>
      <c r="F23" s="3" t="s">
        <v>64</v>
      </c>
      <c r="G23" t="str">
        <f t="shared" si="4"/>
        <v>36957.403</v>
      </c>
      <c r="H23" s="6">
        <f t="shared" si="5"/>
        <v>-9775</v>
      </c>
      <c r="I23" s="37" t="s">
        <v>142</v>
      </c>
      <c r="J23" s="38" t="s">
        <v>143</v>
      </c>
      <c r="K23" s="37">
        <v>-9775</v>
      </c>
      <c r="L23" s="37" t="s">
        <v>144</v>
      </c>
      <c r="M23" s="38" t="s">
        <v>140</v>
      </c>
      <c r="N23" s="38"/>
      <c r="O23" s="39" t="s">
        <v>141</v>
      </c>
      <c r="P23" s="39" t="s">
        <v>44</v>
      </c>
    </row>
    <row r="24" spans="1:16" ht="12.75" customHeight="1" x14ac:dyDescent="0.2">
      <c r="A24" s="6" t="str">
        <f t="shared" si="0"/>
        <v> MHAR 20.12 </v>
      </c>
      <c r="B24" s="3" t="str">
        <f t="shared" si="1"/>
        <v>I</v>
      </c>
      <c r="C24" s="6">
        <f t="shared" si="2"/>
        <v>37319.385999999999</v>
      </c>
      <c r="D24" t="str">
        <f t="shared" si="3"/>
        <v>vis</v>
      </c>
      <c r="E24">
        <f>VLOOKUP(C24,Active!C$21:E$973,3,FALSE)</f>
        <v>-9386.1441898456633</v>
      </c>
      <c r="F24" s="3" t="s">
        <v>64</v>
      </c>
      <c r="G24" t="str">
        <f t="shared" si="4"/>
        <v>37319.386</v>
      </c>
      <c r="H24" s="6">
        <f t="shared" si="5"/>
        <v>-9386</v>
      </c>
      <c r="I24" s="37" t="s">
        <v>145</v>
      </c>
      <c r="J24" s="38" t="s">
        <v>146</v>
      </c>
      <c r="K24" s="37">
        <v>-9386</v>
      </c>
      <c r="L24" s="37" t="s">
        <v>147</v>
      </c>
      <c r="M24" s="38" t="s">
        <v>140</v>
      </c>
      <c r="N24" s="38"/>
      <c r="O24" s="39" t="s">
        <v>141</v>
      </c>
      <c r="P24" s="39" t="s">
        <v>44</v>
      </c>
    </row>
    <row r="25" spans="1:16" ht="12.75" customHeight="1" x14ac:dyDescent="0.2">
      <c r="A25" s="6" t="str">
        <f t="shared" si="0"/>
        <v> MHAR 20.12 </v>
      </c>
      <c r="B25" s="3" t="str">
        <f t="shared" si="1"/>
        <v>I</v>
      </c>
      <c r="C25" s="6">
        <f t="shared" si="2"/>
        <v>37346.374000000003</v>
      </c>
      <c r="D25" t="str">
        <f t="shared" si="3"/>
        <v>vis</v>
      </c>
      <c r="E25">
        <f>VLOOKUP(C25,Active!C$21:E$973,3,FALSE)</f>
        <v>-9357.1385581015365</v>
      </c>
      <c r="F25" s="3" t="s">
        <v>64</v>
      </c>
      <c r="G25" t="str">
        <f t="shared" si="4"/>
        <v>37346.374</v>
      </c>
      <c r="H25" s="6">
        <f t="shared" si="5"/>
        <v>-9357</v>
      </c>
      <c r="I25" s="37" t="s">
        <v>148</v>
      </c>
      <c r="J25" s="38" t="s">
        <v>149</v>
      </c>
      <c r="K25" s="37">
        <v>-9357</v>
      </c>
      <c r="L25" s="37" t="s">
        <v>150</v>
      </c>
      <c r="M25" s="38" t="s">
        <v>140</v>
      </c>
      <c r="N25" s="38"/>
      <c r="O25" s="39" t="s">
        <v>141</v>
      </c>
      <c r="P25" s="39" t="s">
        <v>44</v>
      </c>
    </row>
    <row r="26" spans="1:16" ht="12.75" customHeight="1" x14ac:dyDescent="0.2">
      <c r="A26" s="6" t="str">
        <f t="shared" si="0"/>
        <v> MHAR 20.12 </v>
      </c>
      <c r="B26" s="3" t="str">
        <f t="shared" si="1"/>
        <v>I</v>
      </c>
      <c r="C26" s="6">
        <f t="shared" si="2"/>
        <v>39056.531000000003</v>
      </c>
      <c r="D26" t="str">
        <f t="shared" si="3"/>
        <v>vis</v>
      </c>
      <c r="E26">
        <f>VLOOKUP(C26,Active!C$21:E$973,3,FALSE)</f>
        <v>-7519.1296590860175</v>
      </c>
      <c r="F26" s="3" t="s">
        <v>64</v>
      </c>
      <c r="G26" t="str">
        <f t="shared" si="4"/>
        <v>39056.531</v>
      </c>
      <c r="H26" s="6">
        <f t="shared" si="5"/>
        <v>-7519</v>
      </c>
      <c r="I26" s="37" t="s">
        <v>151</v>
      </c>
      <c r="J26" s="38" t="s">
        <v>152</v>
      </c>
      <c r="K26" s="37">
        <v>-7519</v>
      </c>
      <c r="L26" s="37" t="s">
        <v>153</v>
      </c>
      <c r="M26" s="38" t="s">
        <v>140</v>
      </c>
      <c r="N26" s="38"/>
      <c r="O26" s="39" t="s">
        <v>141</v>
      </c>
      <c r="P26" s="39" t="s">
        <v>44</v>
      </c>
    </row>
    <row r="27" spans="1:16" ht="12.75" customHeight="1" x14ac:dyDescent="0.2">
      <c r="A27" s="6" t="str">
        <f t="shared" si="0"/>
        <v> MHAR 20.12 </v>
      </c>
      <c r="B27" s="3" t="str">
        <f t="shared" si="1"/>
        <v>I</v>
      </c>
      <c r="C27" s="6">
        <f t="shared" si="2"/>
        <v>39179.351000000002</v>
      </c>
      <c r="D27" t="str">
        <f t="shared" si="3"/>
        <v>vis</v>
      </c>
      <c r="E27">
        <f>VLOOKUP(C27,Active!C$21:E$973,3,FALSE)</f>
        <v>-7387.1275955461879</v>
      </c>
      <c r="F27" s="3" t="s">
        <v>64</v>
      </c>
      <c r="G27" t="str">
        <f t="shared" si="4"/>
        <v>39179.351</v>
      </c>
      <c r="H27" s="6">
        <f t="shared" si="5"/>
        <v>-7387</v>
      </c>
      <c r="I27" s="37" t="s">
        <v>154</v>
      </c>
      <c r="J27" s="38" t="s">
        <v>155</v>
      </c>
      <c r="K27" s="37">
        <v>-7387</v>
      </c>
      <c r="L27" s="37" t="s">
        <v>156</v>
      </c>
      <c r="M27" s="38" t="s">
        <v>140</v>
      </c>
      <c r="N27" s="38"/>
      <c r="O27" s="39" t="s">
        <v>141</v>
      </c>
      <c r="P27" s="39" t="s">
        <v>44</v>
      </c>
    </row>
    <row r="28" spans="1:16" ht="12.75" customHeight="1" x14ac:dyDescent="0.2">
      <c r="A28" s="6" t="str">
        <f t="shared" si="0"/>
        <v> MHAR 20.12 </v>
      </c>
      <c r="B28" s="3" t="str">
        <f t="shared" si="1"/>
        <v>I</v>
      </c>
      <c r="C28" s="6">
        <f t="shared" si="2"/>
        <v>42069.322</v>
      </c>
      <c r="D28" t="str">
        <f t="shared" si="3"/>
        <v>vis</v>
      </c>
      <c r="E28">
        <f>VLOOKUP(C28,Active!C$21:E$973,3,FALSE)</f>
        <v>-4281.1014143845887</v>
      </c>
      <c r="F28" s="3" t="s">
        <v>64</v>
      </c>
      <c r="G28" t="str">
        <f t="shared" si="4"/>
        <v>42069.322</v>
      </c>
      <c r="H28" s="6">
        <f t="shared" si="5"/>
        <v>-4281</v>
      </c>
      <c r="I28" s="37" t="s">
        <v>157</v>
      </c>
      <c r="J28" s="38" t="s">
        <v>158</v>
      </c>
      <c r="K28" s="37">
        <v>-4281</v>
      </c>
      <c r="L28" s="37" t="s">
        <v>159</v>
      </c>
      <c r="M28" s="38" t="s">
        <v>140</v>
      </c>
      <c r="N28" s="38"/>
      <c r="O28" s="39" t="s">
        <v>141</v>
      </c>
      <c r="P28" s="39" t="s">
        <v>44</v>
      </c>
    </row>
    <row r="29" spans="1:16" ht="12.75" customHeight="1" x14ac:dyDescent="0.2">
      <c r="A29" s="6" t="str">
        <f t="shared" si="0"/>
        <v> MHAR 20.12 </v>
      </c>
      <c r="B29" s="3" t="str">
        <f t="shared" si="1"/>
        <v>I</v>
      </c>
      <c r="C29" s="6">
        <f t="shared" si="2"/>
        <v>43192.391000000003</v>
      </c>
      <c r="D29" t="str">
        <f t="shared" si="3"/>
        <v>vis</v>
      </c>
      <c r="E29">
        <f>VLOOKUP(C29,Active!C$21:E$973,3,FALSE)</f>
        <v>-3074.0714070762156</v>
      </c>
      <c r="F29" s="3" t="s">
        <v>64</v>
      </c>
      <c r="G29" t="str">
        <f t="shared" si="4"/>
        <v>43192.391</v>
      </c>
      <c r="H29" s="6">
        <f t="shared" si="5"/>
        <v>-3074</v>
      </c>
      <c r="I29" s="37" t="s">
        <v>160</v>
      </c>
      <c r="J29" s="38" t="s">
        <v>161</v>
      </c>
      <c r="K29" s="37">
        <v>-3074</v>
      </c>
      <c r="L29" s="37" t="s">
        <v>162</v>
      </c>
      <c r="M29" s="38" t="s">
        <v>140</v>
      </c>
      <c r="N29" s="38"/>
      <c r="O29" s="39" t="s">
        <v>141</v>
      </c>
      <c r="P29" s="39" t="s">
        <v>44</v>
      </c>
    </row>
    <row r="30" spans="1:16" ht="12.75" customHeight="1" x14ac:dyDescent="0.2">
      <c r="A30" s="6" t="str">
        <f t="shared" si="0"/>
        <v> VSSC 60.23 </v>
      </c>
      <c r="B30" s="3" t="str">
        <f t="shared" si="1"/>
        <v>I</v>
      </c>
      <c r="C30" s="6">
        <f t="shared" si="2"/>
        <v>45044.947999999997</v>
      </c>
      <c r="D30" t="str">
        <f t="shared" si="3"/>
        <v>vis</v>
      </c>
      <c r="E30">
        <f>VLOOKUP(C30,Active!C$21:E$973,3,FALSE)</f>
        <v>-1083.016637289885</v>
      </c>
      <c r="F30" s="3" t="s">
        <v>64</v>
      </c>
      <c r="G30" t="str">
        <f t="shared" si="4"/>
        <v>45044.948</v>
      </c>
      <c r="H30" s="6">
        <f t="shared" si="5"/>
        <v>-1083</v>
      </c>
      <c r="I30" s="37" t="s">
        <v>163</v>
      </c>
      <c r="J30" s="38" t="s">
        <v>164</v>
      </c>
      <c r="K30" s="37">
        <v>-1083</v>
      </c>
      <c r="L30" s="37" t="s">
        <v>165</v>
      </c>
      <c r="M30" s="38" t="s">
        <v>75</v>
      </c>
      <c r="N30" s="38"/>
      <c r="O30" s="39" t="s">
        <v>76</v>
      </c>
      <c r="P30" s="39" t="s">
        <v>47</v>
      </c>
    </row>
    <row r="31" spans="1:16" ht="12.75" customHeight="1" x14ac:dyDescent="0.2">
      <c r="A31" s="6" t="str">
        <f t="shared" si="0"/>
        <v> VSSC 61.19 </v>
      </c>
      <c r="B31" s="3" t="str">
        <f t="shared" si="1"/>
        <v>I</v>
      </c>
      <c r="C31" s="6">
        <f t="shared" si="2"/>
        <v>45053.315999999999</v>
      </c>
      <c r="D31" t="str">
        <f t="shared" si="3"/>
        <v>vis</v>
      </c>
      <c r="E31">
        <f>VLOOKUP(C31,Active!C$21:E$973,3,FALSE)</f>
        <v>-1074.0230428614402</v>
      </c>
      <c r="F31" s="3" t="s">
        <v>64</v>
      </c>
      <c r="G31" t="str">
        <f t="shared" si="4"/>
        <v>45053.316</v>
      </c>
      <c r="H31" s="6">
        <f t="shared" si="5"/>
        <v>-1074</v>
      </c>
      <c r="I31" s="37" t="s">
        <v>166</v>
      </c>
      <c r="J31" s="38" t="s">
        <v>167</v>
      </c>
      <c r="K31" s="37">
        <v>-1074</v>
      </c>
      <c r="L31" s="37" t="s">
        <v>168</v>
      </c>
      <c r="M31" s="38" t="s">
        <v>75</v>
      </c>
      <c r="N31" s="38"/>
      <c r="O31" s="39" t="s">
        <v>76</v>
      </c>
      <c r="P31" s="39" t="s">
        <v>48</v>
      </c>
    </row>
    <row r="32" spans="1:16" ht="12.75" customHeight="1" x14ac:dyDescent="0.2">
      <c r="A32" s="6" t="str">
        <f t="shared" si="0"/>
        <v> VSSC 61.19 </v>
      </c>
      <c r="B32" s="3" t="str">
        <f t="shared" si="1"/>
        <v>I</v>
      </c>
      <c r="C32" s="6">
        <f t="shared" si="2"/>
        <v>45079.373</v>
      </c>
      <c r="D32" t="str">
        <f t="shared" si="3"/>
        <v>vis</v>
      </c>
      <c r="E32">
        <f>VLOOKUP(C32,Active!C$21:E$973,3,FALSE)</f>
        <v>-1046.0180129831024</v>
      </c>
      <c r="F32" s="3" t="s">
        <v>64</v>
      </c>
      <c r="G32" t="str">
        <f t="shared" si="4"/>
        <v>45079.373</v>
      </c>
      <c r="H32" s="6">
        <f t="shared" si="5"/>
        <v>-1046</v>
      </c>
      <c r="I32" s="37" t="s">
        <v>169</v>
      </c>
      <c r="J32" s="38" t="s">
        <v>170</v>
      </c>
      <c r="K32" s="37">
        <v>-1046</v>
      </c>
      <c r="L32" s="37" t="s">
        <v>171</v>
      </c>
      <c r="M32" s="38" t="s">
        <v>75</v>
      </c>
      <c r="N32" s="38"/>
      <c r="O32" s="39" t="s">
        <v>76</v>
      </c>
      <c r="P32" s="39" t="s">
        <v>48</v>
      </c>
    </row>
    <row r="33" spans="1:16" ht="12.75" customHeight="1" x14ac:dyDescent="0.2">
      <c r="A33" s="6" t="str">
        <f t="shared" si="0"/>
        <v> VSSC 61.19 </v>
      </c>
      <c r="B33" s="3" t="str">
        <f t="shared" si="1"/>
        <v>I</v>
      </c>
      <c r="C33" s="6">
        <f t="shared" si="2"/>
        <v>45414.322999999997</v>
      </c>
      <c r="D33" t="str">
        <f t="shared" si="3"/>
        <v>vis</v>
      </c>
      <c r="E33">
        <f>VLOOKUP(C33,Active!C$21:E$973,3,FALSE)</f>
        <v>-686.0270409698644</v>
      </c>
      <c r="F33" s="3" t="s">
        <v>64</v>
      </c>
      <c r="G33" t="str">
        <f t="shared" si="4"/>
        <v>45414.323</v>
      </c>
      <c r="H33" s="6">
        <f t="shared" si="5"/>
        <v>-686</v>
      </c>
      <c r="I33" s="37" t="s">
        <v>172</v>
      </c>
      <c r="J33" s="38" t="s">
        <v>173</v>
      </c>
      <c r="K33" s="37">
        <v>-686</v>
      </c>
      <c r="L33" s="37" t="s">
        <v>174</v>
      </c>
      <c r="M33" s="38" t="s">
        <v>75</v>
      </c>
      <c r="N33" s="38"/>
      <c r="O33" s="39" t="s">
        <v>76</v>
      </c>
      <c r="P33" s="39" t="s">
        <v>48</v>
      </c>
    </row>
    <row r="34" spans="1:16" ht="12.75" customHeight="1" x14ac:dyDescent="0.2">
      <c r="A34" s="6" t="str">
        <f t="shared" si="0"/>
        <v> VSSC 60.23 </v>
      </c>
      <c r="B34" s="3" t="str">
        <f t="shared" si="1"/>
        <v>II</v>
      </c>
      <c r="C34" s="6">
        <f t="shared" si="2"/>
        <v>45436.199000000001</v>
      </c>
      <c r="D34" t="str">
        <f t="shared" si="3"/>
        <v>vis</v>
      </c>
      <c r="E34">
        <f>VLOOKUP(C34,Active!C$21:E$973,3,FALSE)</f>
        <v>-662.51558402475905</v>
      </c>
      <c r="F34" s="3" t="s">
        <v>64</v>
      </c>
      <c r="G34" t="str">
        <f t="shared" si="4"/>
        <v>45436.199</v>
      </c>
      <c r="H34" s="6">
        <f t="shared" si="5"/>
        <v>-662.5</v>
      </c>
      <c r="I34" s="37" t="s">
        <v>175</v>
      </c>
      <c r="J34" s="38" t="s">
        <v>176</v>
      </c>
      <c r="K34" s="37">
        <v>-662.5</v>
      </c>
      <c r="L34" s="37" t="s">
        <v>165</v>
      </c>
      <c r="M34" s="38" t="s">
        <v>75</v>
      </c>
      <c r="N34" s="38"/>
      <c r="O34" s="39" t="s">
        <v>76</v>
      </c>
      <c r="P34" s="39" t="s">
        <v>47</v>
      </c>
    </row>
    <row r="35" spans="1:16" ht="12.75" customHeight="1" x14ac:dyDescent="0.2">
      <c r="A35" s="6" t="str">
        <f t="shared" si="0"/>
        <v> VSSC 60.23 </v>
      </c>
      <c r="B35" s="3" t="str">
        <f t="shared" si="1"/>
        <v>I</v>
      </c>
      <c r="C35" s="6">
        <f t="shared" si="2"/>
        <v>45436.654999999999</v>
      </c>
      <c r="D35" t="str">
        <f t="shared" si="3"/>
        <v>vis</v>
      </c>
      <c r="E35">
        <f>VLOOKUP(C35,Active!C$21:E$973,3,FALSE)</f>
        <v>-662.02549331498915</v>
      </c>
      <c r="F35" s="3" t="s">
        <v>64</v>
      </c>
      <c r="G35" t="str">
        <f t="shared" si="4"/>
        <v>45436.655</v>
      </c>
      <c r="H35" s="6">
        <f t="shared" si="5"/>
        <v>-662</v>
      </c>
      <c r="I35" s="37" t="s">
        <v>177</v>
      </c>
      <c r="J35" s="38" t="s">
        <v>178</v>
      </c>
      <c r="K35" s="37">
        <v>-662</v>
      </c>
      <c r="L35" s="37" t="s">
        <v>179</v>
      </c>
      <c r="M35" s="38" t="s">
        <v>75</v>
      </c>
      <c r="N35" s="38"/>
      <c r="O35" s="39" t="s">
        <v>76</v>
      </c>
      <c r="P35" s="39" t="s">
        <v>47</v>
      </c>
    </row>
    <row r="36" spans="1:16" ht="12.75" customHeight="1" x14ac:dyDescent="0.2">
      <c r="A36" s="6" t="str">
        <f t="shared" si="0"/>
        <v> VSSC 61.19 </v>
      </c>
      <c r="B36" s="3" t="str">
        <f t="shared" si="1"/>
        <v>I</v>
      </c>
      <c r="C36" s="6">
        <f t="shared" si="2"/>
        <v>45440.368000000002</v>
      </c>
      <c r="D36" t="str">
        <f t="shared" si="3"/>
        <v>vis</v>
      </c>
      <c r="E36">
        <f>VLOOKUP(C36,Active!C$21:E$973,3,FALSE)</f>
        <v>-658.03490821546268</v>
      </c>
      <c r="F36" s="3" t="s">
        <v>64</v>
      </c>
      <c r="G36" t="str">
        <f t="shared" si="4"/>
        <v>45440.368</v>
      </c>
      <c r="H36" s="6">
        <f t="shared" si="5"/>
        <v>-658</v>
      </c>
      <c r="I36" s="37" t="s">
        <v>180</v>
      </c>
      <c r="J36" s="38" t="s">
        <v>181</v>
      </c>
      <c r="K36" s="37">
        <v>-658</v>
      </c>
      <c r="L36" s="37" t="s">
        <v>182</v>
      </c>
      <c r="M36" s="38" t="s">
        <v>75</v>
      </c>
      <c r="N36" s="38"/>
      <c r="O36" s="39" t="s">
        <v>76</v>
      </c>
      <c r="P36" s="39" t="s">
        <v>48</v>
      </c>
    </row>
    <row r="37" spans="1:16" ht="12.75" customHeight="1" x14ac:dyDescent="0.2">
      <c r="A37" s="6" t="str">
        <f t="shared" si="0"/>
        <v> VSSC 61.19 </v>
      </c>
      <c r="B37" s="3" t="str">
        <f t="shared" si="1"/>
        <v>I</v>
      </c>
      <c r="C37" s="6">
        <f t="shared" si="2"/>
        <v>45815.392</v>
      </c>
      <c r="D37" t="str">
        <f t="shared" si="3"/>
        <v>vis</v>
      </c>
      <c r="E37">
        <f>VLOOKUP(C37,Active!C$21:E$973,3,FALSE)</f>
        <v>-254.97399080004894</v>
      </c>
      <c r="F37" s="3" t="s">
        <v>64</v>
      </c>
      <c r="G37" t="str">
        <f t="shared" si="4"/>
        <v>45815.392</v>
      </c>
      <c r="H37" s="6">
        <f t="shared" si="5"/>
        <v>-255</v>
      </c>
      <c r="I37" s="37" t="s">
        <v>183</v>
      </c>
      <c r="J37" s="38" t="s">
        <v>184</v>
      </c>
      <c r="K37" s="37">
        <v>-255</v>
      </c>
      <c r="L37" s="37" t="s">
        <v>185</v>
      </c>
      <c r="M37" s="38" t="s">
        <v>75</v>
      </c>
      <c r="N37" s="38"/>
      <c r="O37" s="39" t="s">
        <v>76</v>
      </c>
      <c r="P37" s="39" t="s">
        <v>48</v>
      </c>
    </row>
    <row r="38" spans="1:16" ht="12.75" customHeight="1" x14ac:dyDescent="0.2">
      <c r="A38" s="6" t="str">
        <f t="shared" si="0"/>
        <v> VSSC 61.19 </v>
      </c>
      <c r="B38" s="3" t="str">
        <f t="shared" si="1"/>
        <v>I</v>
      </c>
      <c r="C38" s="6">
        <f t="shared" si="2"/>
        <v>46052.633000000002</v>
      </c>
      <c r="D38" t="str">
        <f t="shared" si="3"/>
        <v>vis</v>
      </c>
      <c r="E38">
        <f>VLOOKUP(C38,Active!C$21:E$973,3,FALSE)</f>
        <v>3.2242809899070968E-3</v>
      </c>
      <c r="F38" s="3" t="s">
        <v>64</v>
      </c>
      <c r="G38" t="str">
        <f t="shared" si="4"/>
        <v>46052.633</v>
      </c>
      <c r="H38" s="6">
        <f t="shared" si="5"/>
        <v>0</v>
      </c>
      <c r="I38" s="37" t="s">
        <v>186</v>
      </c>
      <c r="J38" s="38" t="s">
        <v>187</v>
      </c>
      <c r="K38" s="37">
        <v>0</v>
      </c>
      <c r="L38" s="37" t="s">
        <v>188</v>
      </c>
      <c r="M38" s="38" t="s">
        <v>75</v>
      </c>
      <c r="N38" s="38"/>
      <c r="O38" s="39" t="s">
        <v>76</v>
      </c>
      <c r="P38" s="39" t="s">
        <v>48</v>
      </c>
    </row>
    <row r="39" spans="1:16" ht="12.75" customHeight="1" x14ac:dyDescent="0.2">
      <c r="A39" s="6" t="str">
        <f t="shared" si="0"/>
        <v> VSSC 68.34 </v>
      </c>
      <c r="B39" s="3" t="str">
        <f t="shared" si="1"/>
        <v>I</v>
      </c>
      <c r="C39" s="6">
        <f t="shared" si="2"/>
        <v>46109.392999999996</v>
      </c>
      <c r="D39" t="str">
        <f t="shared" si="3"/>
        <v>vis</v>
      </c>
      <c r="E39">
        <f>VLOOKUP(C39,Active!C$21:E$973,3,FALSE)</f>
        <v>61.006620523622168</v>
      </c>
      <c r="F39" s="3" t="s">
        <v>64</v>
      </c>
      <c r="G39" t="str">
        <f t="shared" si="4"/>
        <v>46109.393</v>
      </c>
      <c r="H39" s="6">
        <f t="shared" si="5"/>
        <v>61</v>
      </c>
      <c r="I39" s="37" t="s">
        <v>189</v>
      </c>
      <c r="J39" s="38" t="s">
        <v>190</v>
      </c>
      <c r="K39" s="37">
        <v>61</v>
      </c>
      <c r="L39" s="37" t="s">
        <v>191</v>
      </c>
      <c r="M39" s="38" t="s">
        <v>75</v>
      </c>
      <c r="N39" s="38"/>
      <c r="O39" s="39" t="s">
        <v>76</v>
      </c>
      <c r="P39" s="39" t="s">
        <v>51</v>
      </c>
    </row>
    <row r="40" spans="1:16" ht="12.75" customHeight="1" x14ac:dyDescent="0.2">
      <c r="A40" s="6" t="str">
        <f t="shared" si="0"/>
        <v> VSSC 68.34 </v>
      </c>
      <c r="B40" s="3" t="str">
        <f t="shared" si="1"/>
        <v>I</v>
      </c>
      <c r="C40" s="6">
        <f t="shared" si="2"/>
        <v>46135.44</v>
      </c>
      <c r="D40" t="str">
        <f t="shared" si="3"/>
        <v>vis</v>
      </c>
      <c r="E40">
        <f>VLOOKUP(C40,Active!C$21:E$973,3,FALSE)</f>
        <v>89.00090279868121</v>
      </c>
      <c r="F40" s="3" t="s">
        <v>64</v>
      </c>
      <c r="G40" t="str">
        <f t="shared" si="4"/>
        <v>46135.440</v>
      </c>
      <c r="H40" s="6">
        <f t="shared" si="5"/>
        <v>89</v>
      </c>
      <c r="I40" s="37" t="s">
        <v>192</v>
      </c>
      <c r="J40" s="38" t="s">
        <v>193</v>
      </c>
      <c r="K40" s="37">
        <v>89</v>
      </c>
      <c r="L40" s="37" t="s">
        <v>194</v>
      </c>
      <c r="M40" s="38" t="s">
        <v>75</v>
      </c>
      <c r="N40" s="38"/>
      <c r="O40" s="39" t="s">
        <v>76</v>
      </c>
      <c r="P40" s="39" t="s">
        <v>51</v>
      </c>
    </row>
    <row r="41" spans="1:16" ht="12.75" customHeight="1" x14ac:dyDescent="0.2">
      <c r="A41" s="6" t="str">
        <f t="shared" si="0"/>
        <v> VSSC 68.34 </v>
      </c>
      <c r="B41" s="3" t="str">
        <f t="shared" si="1"/>
        <v>I</v>
      </c>
      <c r="C41" s="6">
        <f t="shared" si="2"/>
        <v>46136.374000000003</v>
      </c>
      <c r="D41" t="str">
        <f t="shared" si="3"/>
        <v>vis</v>
      </c>
      <c r="E41">
        <f>VLOOKUP(C41,Active!C$21:E$973,3,FALSE)</f>
        <v>90.004728945451674</v>
      </c>
      <c r="F41" s="3" t="s">
        <v>64</v>
      </c>
      <c r="G41" t="str">
        <f t="shared" si="4"/>
        <v>46136.374</v>
      </c>
      <c r="H41" s="6">
        <f t="shared" si="5"/>
        <v>90</v>
      </c>
      <c r="I41" s="37" t="s">
        <v>195</v>
      </c>
      <c r="J41" s="38" t="s">
        <v>196</v>
      </c>
      <c r="K41" s="37">
        <v>90</v>
      </c>
      <c r="L41" s="37" t="s">
        <v>197</v>
      </c>
      <c r="M41" s="38" t="s">
        <v>75</v>
      </c>
      <c r="N41" s="38"/>
      <c r="O41" s="39" t="s">
        <v>76</v>
      </c>
      <c r="P41" s="39" t="s">
        <v>51</v>
      </c>
    </row>
    <row r="42" spans="1:16" ht="12.75" customHeight="1" x14ac:dyDescent="0.2">
      <c r="A42" s="6" t="str">
        <f t="shared" si="0"/>
        <v> VSSC 68.34 </v>
      </c>
      <c r="B42" s="3" t="str">
        <f t="shared" si="1"/>
        <v>I</v>
      </c>
      <c r="C42" s="6">
        <f t="shared" si="2"/>
        <v>46444.37</v>
      </c>
      <c r="D42" t="str">
        <f t="shared" si="3"/>
        <v>vis</v>
      </c>
      <c r="E42">
        <f>VLOOKUP(C42,Active!C$21:E$973,3,FALSE)</f>
        <v>421.02661106573794</v>
      </c>
      <c r="F42" s="3" t="s">
        <v>64</v>
      </c>
      <c r="G42" t="str">
        <f t="shared" si="4"/>
        <v>46444.370</v>
      </c>
      <c r="H42" s="6">
        <f t="shared" si="5"/>
        <v>421</v>
      </c>
      <c r="I42" s="37" t="s">
        <v>198</v>
      </c>
      <c r="J42" s="38" t="s">
        <v>199</v>
      </c>
      <c r="K42" s="37">
        <v>421</v>
      </c>
      <c r="L42" s="37" t="s">
        <v>200</v>
      </c>
      <c r="M42" s="38" t="s">
        <v>75</v>
      </c>
      <c r="N42" s="38"/>
      <c r="O42" s="39" t="s">
        <v>76</v>
      </c>
      <c r="P42" s="39" t="s">
        <v>51</v>
      </c>
    </row>
    <row r="43" spans="1:16" ht="12.75" customHeight="1" x14ac:dyDescent="0.2">
      <c r="A43" s="6" t="str">
        <f t="shared" si="0"/>
        <v> VSSC 72.27 </v>
      </c>
      <c r="B43" s="3" t="str">
        <f t="shared" si="1"/>
        <v>I</v>
      </c>
      <c r="C43" s="6">
        <f t="shared" si="2"/>
        <v>47206.366000000002</v>
      </c>
      <c r="D43" t="str">
        <f t="shared" si="3"/>
        <v>vis</v>
      </c>
      <c r="E43">
        <f>VLOOKUP(C43,Active!C$21:E$973,3,FALSE)</f>
        <v>1239.9896823008517</v>
      </c>
      <c r="F43" s="3" t="s">
        <v>64</v>
      </c>
      <c r="G43" t="str">
        <f t="shared" si="4"/>
        <v>47206.366</v>
      </c>
      <c r="H43" s="6">
        <f t="shared" si="5"/>
        <v>1240</v>
      </c>
      <c r="I43" s="37" t="s">
        <v>201</v>
      </c>
      <c r="J43" s="38" t="s">
        <v>202</v>
      </c>
      <c r="K43" s="37">
        <v>1240</v>
      </c>
      <c r="L43" s="37" t="s">
        <v>203</v>
      </c>
      <c r="M43" s="38" t="s">
        <v>75</v>
      </c>
      <c r="N43" s="38"/>
      <c r="O43" s="39" t="s">
        <v>204</v>
      </c>
      <c r="P43" s="39" t="s">
        <v>52</v>
      </c>
    </row>
    <row r="44" spans="1:16" ht="12.75" customHeight="1" x14ac:dyDescent="0.2">
      <c r="A44" s="6" t="str">
        <f t="shared" si="0"/>
        <v>IBVS 5809 </v>
      </c>
      <c r="B44" s="3" t="str">
        <f t="shared" si="1"/>
        <v>I</v>
      </c>
      <c r="C44" s="6">
        <f t="shared" si="2"/>
        <v>52679.317499999997</v>
      </c>
      <c r="D44" t="str">
        <f t="shared" si="3"/>
        <v>vis</v>
      </c>
      <c r="E44">
        <f>VLOOKUP(C44,Active!C$21:E$973,3,FALSE)</f>
        <v>7122.1008340140143</v>
      </c>
      <c r="F44" s="3" t="s">
        <v>64</v>
      </c>
      <c r="G44" t="str">
        <f t="shared" si="4"/>
        <v>52679.3175</v>
      </c>
      <c r="H44" s="6">
        <f t="shared" si="5"/>
        <v>7122</v>
      </c>
      <c r="I44" s="37" t="s">
        <v>205</v>
      </c>
      <c r="J44" s="38" t="s">
        <v>206</v>
      </c>
      <c r="K44" s="37">
        <v>7122</v>
      </c>
      <c r="L44" s="37" t="s">
        <v>207</v>
      </c>
      <c r="M44" s="38" t="s">
        <v>91</v>
      </c>
      <c r="N44" s="38" t="s">
        <v>64</v>
      </c>
      <c r="O44" s="39" t="s">
        <v>208</v>
      </c>
      <c r="P44" s="40" t="s">
        <v>54</v>
      </c>
    </row>
    <row r="45" spans="1:16" ht="12.75" customHeight="1" x14ac:dyDescent="0.2">
      <c r="A45" s="6" t="str">
        <f t="shared" si="0"/>
        <v>IBVS 5809 </v>
      </c>
      <c r="B45" s="3" t="str">
        <f t="shared" si="1"/>
        <v>II</v>
      </c>
      <c r="C45" s="6">
        <f t="shared" si="2"/>
        <v>52679.775500000003</v>
      </c>
      <c r="D45" t="str">
        <f t="shared" si="3"/>
        <v>vis</v>
      </c>
      <c r="E45">
        <f>VLOOKUP(C45,Active!C$21:E$973,3,FALSE)</f>
        <v>7122.5930742444498</v>
      </c>
      <c r="F45" s="3" t="s">
        <v>64</v>
      </c>
      <c r="G45" t="str">
        <f t="shared" si="4"/>
        <v>52679.7755</v>
      </c>
      <c r="H45" s="6">
        <f t="shared" si="5"/>
        <v>7122.5</v>
      </c>
      <c r="I45" s="37" t="s">
        <v>209</v>
      </c>
      <c r="J45" s="38" t="s">
        <v>210</v>
      </c>
      <c r="K45" s="37">
        <v>7122.5</v>
      </c>
      <c r="L45" s="37" t="s">
        <v>211</v>
      </c>
      <c r="M45" s="38" t="s">
        <v>91</v>
      </c>
      <c r="N45" s="38" t="s">
        <v>64</v>
      </c>
      <c r="O45" s="39" t="s">
        <v>208</v>
      </c>
      <c r="P45" s="40" t="s">
        <v>54</v>
      </c>
    </row>
    <row r="46" spans="1:16" ht="12.75" customHeight="1" x14ac:dyDescent="0.2">
      <c r="A46" s="6" t="str">
        <f t="shared" si="0"/>
        <v>IBVS 5809 </v>
      </c>
      <c r="B46" s="3" t="str">
        <f t="shared" si="1"/>
        <v>I</v>
      </c>
      <c r="C46" s="6">
        <f t="shared" si="2"/>
        <v>52680.246899999998</v>
      </c>
      <c r="D46" t="str">
        <f t="shared" si="3"/>
        <v>vis</v>
      </c>
      <c r="E46">
        <f>VLOOKUP(C46,Active!C$21:E$973,3,FALSE)</f>
        <v>7123.0997162632739</v>
      </c>
      <c r="F46" s="3" t="s">
        <v>64</v>
      </c>
      <c r="G46" t="str">
        <f t="shared" si="4"/>
        <v>52680.2469</v>
      </c>
      <c r="H46" s="6">
        <f t="shared" si="5"/>
        <v>7123</v>
      </c>
      <c r="I46" s="37" t="s">
        <v>212</v>
      </c>
      <c r="J46" s="38" t="s">
        <v>213</v>
      </c>
      <c r="K46" s="37">
        <v>7123</v>
      </c>
      <c r="L46" s="37" t="s">
        <v>214</v>
      </c>
      <c r="M46" s="38" t="s">
        <v>91</v>
      </c>
      <c r="N46" s="38" t="s">
        <v>64</v>
      </c>
      <c r="O46" s="39" t="s">
        <v>208</v>
      </c>
      <c r="P46" s="40" t="s">
        <v>54</v>
      </c>
    </row>
    <row r="47" spans="1:16" ht="12.75" customHeight="1" x14ac:dyDescent="0.2">
      <c r="A47" s="6" t="str">
        <f t="shared" si="0"/>
        <v>IBVS 5809 </v>
      </c>
      <c r="B47" s="3" t="str">
        <f t="shared" si="1"/>
        <v>I</v>
      </c>
      <c r="C47" s="6">
        <f t="shared" si="2"/>
        <v>52681.175999999999</v>
      </c>
      <c r="D47" t="str">
        <f t="shared" si="3"/>
        <v>vis</v>
      </c>
      <c r="E47">
        <f>VLOOKUP(C47,Active!C$21:E$973,3,FALSE)</f>
        <v>7124.0982760844354</v>
      </c>
      <c r="F47" s="3" t="s">
        <v>64</v>
      </c>
      <c r="G47" t="str">
        <f t="shared" si="4"/>
        <v>52681.176</v>
      </c>
      <c r="H47" s="6">
        <f t="shared" si="5"/>
        <v>7124</v>
      </c>
      <c r="I47" s="37" t="s">
        <v>215</v>
      </c>
      <c r="J47" s="38" t="s">
        <v>216</v>
      </c>
      <c r="K47" s="37">
        <v>7124</v>
      </c>
      <c r="L47" s="37" t="s">
        <v>217</v>
      </c>
      <c r="M47" s="38" t="s">
        <v>91</v>
      </c>
      <c r="N47" s="38" t="s">
        <v>64</v>
      </c>
      <c r="O47" s="39" t="s">
        <v>208</v>
      </c>
      <c r="P47" s="40" t="s">
        <v>54</v>
      </c>
    </row>
    <row r="48" spans="1:16" ht="12.75" customHeight="1" x14ac:dyDescent="0.2">
      <c r="A48" s="6" t="str">
        <f t="shared" si="0"/>
        <v>IBVS 5809 </v>
      </c>
      <c r="B48" s="3" t="str">
        <f t="shared" si="1"/>
        <v>II</v>
      </c>
      <c r="C48" s="6">
        <f t="shared" si="2"/>
        <v>52681.633300000001</v>
      </c>
      <c r="D48" t="str">
        <f t="shared" si="3"/>
        <v>vis</v>
      </c>
      <c r="E48">
        <f>VLOOKUP(C48,Active!C$21:E$973,3,FALSE)</f>
        <v>7124.5897639826362</v>
      </c>
      <c r="F48" s="3" t="s">
        <v>64</v>
      </c>
      <c r="G48" t="str">
        <f t="shared" si="4"/>
        <v>52681.6333</v>
      </c>
      <c r="H48" s="6">
        <f t="shared" si="5"/>
        <v>7124.5</v>
      </c>
      <c r="I48" s="37" t="s">
        <v>218</v>
      </c>
      <c r="J48" s="38" t="s">
        <v>219</v>
      </c>
      <c r="K48" s="37">
        <v>7124.5</v>
      </c>
      <c r="L48" s="37" t="s">
        <v>220</v>
      </c>
      <c r="M48" s="38" t="s">
        <v>91</v>
      </c>
      <c r="N48" s="38" t="s">
        <v>64</v>
      </c>
      <c r="O48" s="39" t="s">
        <v>208</v>
      </c>
      <c r="P48" s="40" t="s">
        <v>54</v>
      </c>
    </row>
    <row r="49" spans="1:16" ht="12.75" customHeight="1" x14ac:dyDescent="0.2">
      <c r="A49" s="6" t="str">
        <f t="shared" si="0"/>
        <v>IBVS 5809 </v>
      </c>
      <c r="B49" s="3" t="str">
        <f t="shared" si="1"/>
        <v>I</v>
      </c>
      <c r="C49" s="6">
        <f t="shared" si="2"/>
        <v>52688.621400000004</v>
      </c>
      <c r="D49" t="str">
        <f t="shared" si="3"/>
        <v>vis</v>
      </c>
      <c r="E49">
        <f>VLOOKUP(C49,Active!C$21:E$973,3,FALSE)</f>
        <v>7132.1002966338574</v>
      </c>
      <c r="F49" s="3" t="s">
        <v>64</v>
      </c>
      <c r="G49" t="str">
        <f t="shared" si="4"/>
        <v>52688.6214</v>
      </c>
      <c r="H49" s="6">
        <f t="shared" si="5"/>
        <v>7132</v>
      </c>
      <c r="I49" s="37" t="s">
        <v>221</v>
      </c>
      <c r="J49" s="38" t="s">
        <v>222</v>
      </c>
      <c r="K49" s="37">
        <v>7132</v>
      </c>
      <c r="L49" s="37" t="s">
        <v>223</v>
      </c>
      <c r="M49" s="38" t="s">
        <v>91</v>
      </c>
      <c r="N49" s="38" t="s">
        <v>64</v>
      </c>
      <c r="O49" s="39" t="s">
        <v>208</v>
      </c>
      <c r="P49" s="40" t="s">
        <v>54</v>
      </c>
    </row>
    <row r="50" spans="1:16" ht="12.75" customHeight="1" x14ac:dyDescent="0.2">
      <c r="A50" s="6" t="str">
        <f t="shared" si="0"/>
        <v>IBVS 5809 </v>
      </c>
      <c r="B50" s="3" t="str">
        <f t="shared" si="1"/>
        <v>I</v>
      </c>
      <c r="C50" s="6">
        <f t="shared" si="2"/>
        <v>52690.478000000003</v>
      </c>
      <c r="D50" t="str">
        <f t="shared" si="3"/>
        <v>vis</v>
      </c>
      <c r="E50">
        <f>VLOOKUP(C50,Active!C$21:E$973,3,FALSE)</f>
        <v>7134.0956966596505</v>
      </c>
      <c r="F50" s="3" t="s">
        <v>64</v>
      </c>
      <c r="G50" t="str">
        <f t="shared" si="4"/>
        <v>52690.478</v>
      </c>
      <c r="H50" s="6">
        <f t="shared" si="5"/>
        <v>7134</v>
      </c>
      <c r="I50" s="37" t="s">
        <v>224</v>
      </c>
      <c r="J50" s="38" t="s">
        <v>225</v>
      </c>
      <c r="K50" s="37">
        <v>7134</v>
      </c>
      <c r="L50" s="37" t="s">
        <v>226</v>
      </c>
      <c r="M50" s="38" t="s">
        <v>91</v>
      </c>
      <c r="N50" s="38" t="s">
        <v>64</v>
      </c>
      <c r="O50" s="39" t="s">
        <v>208</v>
      </c>
      <c r="P50" s="40" t="s">
        <v>54</v>
      </c>
    </row>
  </sheetData>
  <sheetProtection selectLockedCells="1" selectUnlockedCells="1"/>
  <hyperlinks>
    <hyperlink ref="P13" r:id="rId1"/>
    <hyperlink ref="P14" r:id="rId2"/>
    <hyperlink ref="P15" r:id="rId3"/>
    <hyperlink ref="P16" r:id="rId4"/>
    <hyperlink ref="P17" r:id="rId5"/>
    <hyperlink ref="P18" r:id="rId6"/>
    <hyperlink ref="P19" r:id="rId7"/>
    <hyperlink ref="P20" r:id="rId8"/>
    <hyperlink ref="P21" r:id="rId9"/>
    <hyperlink ref="P44" r:id="rId10"/>
    <hyperlink ref="P45" r:id="rId11"/>
    <hyperlink ref="P46" r:id="rId12"/>
    <hyperlink ref="P47" r:id="rId13"/>
    <hyperlink ref="P48" r:id="rId14"/>
    <hyperlink ref="P49" r:id="rId15"/>
    <hyperlink ref="P50" r:id="rId16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2024-03-07T04:37:48Z</dcterms:created>
  <dcterms:modified xsi:type="dcterms:W3CDTF">2024-03-07T04:37:48Z</dcterms:modified>
</cp:coreProperties>
</file>