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71A6C38-850C-4C7E-8B18-85F8D3094A3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92" i="1" l="1"/>
  <c r="F92" i="1"/>
  <c r="G92" i="1" s="1"/>
  <c r="K92" i="1" s="1"/>
  <c r="Q92" i="1"/>
  <c r="E93" i="1"/>
  <c r="F93" i="1"/>
  <c r="G93" i="1" s="1"/>
  <c r="K93" i="1" s="1"/>
  <c r="Q93" i="1"/>
  <c r="E94" i="1"/>
  <c r="F94" i="1"/>
  <c r="G94" i="1" s="1"/>
  <c r="K94" i="1" s="1"/>
  <c r="Q94" i="1"/>
  <c r="C7" i="1"/>
  <c r="C8" i="1"/>
  <c r="C9" i="1"/>
  <c r="D9" i="1"/>
  <c r="F16" i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I37" i="1"/>
  <c r="Q37" i="1"/>
  <c r="E38" i="1"/>
  <c r="F38" i="1"/>
  <c r="G38" i="1"/>
  <c r="I38" i="1"/>
  <c r="Q38" i="1"/>
  <c r="E39" i="1"/>
  <c r="F39" i="1"/>
  <c r="G39" i="1"/>
  <c r="I39" i="1"/>
  <c r="Q39" i="1"/>
  <c r="E40" i="1"/>
  <c r="F40" i="1"/>
  <c r="G40" i="1"/>
  <c r="I40" i="1"/>
  <c r="Q40" i="1"/>
  <c r="E41" i="1"/>
  <c r="F41" i="1"/>
  <c r="G41" i="1"/>
  <c r="I41" i="1"/>
  <c r="Q41" i="1"/>
  <c r="E42" i="1"/>
  <c r="F42" i="1"/>
  <c r="G42" i="1"/>
  <c r="I42" i="1"/>
  <c r="Q42" i="1"/>
  <c r="E43" i="1"/>
  <c r="F43" i="1"/>
  <c r="G43" i="1"/>
  <c r="I43" i="1"/>
  <c r="Q43" i="1"/>
  <c r="E44" i="1"/>
  <c r="F44" i="1"/>
  <c r="G44" i="1"/>
  <c r="J44" i="1"/>
  <c r="Q44" i="1"/>
  <c r="E45" i="1"/>
  <c r="F45" i="1"/>
  <c r="G45" i="1"/>
  <c r="J45" i="1"/>
  <c r="Q45" i="1"/>
  <c r="E46" i="1"/>
  <c r="F46" i="1"/>
  <c r="G46" i="1"/>
  <c r="J46" i="1"/>
  <c r="Q46" i="1"/>
  <c r="E47" i="1"/>
  <c r="F47" i="1"/>
  <c r="G47" i="1"/>
  <c r="I47" i="1"/>
  <c r="Q47" i="1"/>
  <c r="E48" i="1"/>
  <c r="F48" i="1"/>
  <c r="G48" i="1"/>
  <c r="K48" i="1"/>
  <c r="Q48" i="1"/>
  <c r="E49" i="1"/>
  <c r="F49" i="1"/>
  <c r="G49" i="1"/>
  <c r="K49" i="1"/>
  <c r="Q49" i="1"/>
  <c r="E50" i="1"/>
  <c r="F50" i="1"/>
  <c r="G50" i="1"/>
  <c r="K50" i="1"/>
  <c r="Q50" i="1"/>
  <c r="E51" i="1"/>
  <c r="F51" i="1"/>
  <c r="G51" i="1"/>
  <c r="K51" i="1"/>
  <c r="Q51" i="1"/>
  <c r="E52" i="1"/>
  <c r="F52" i="1"/>
  <c r="G52" i="1"/>
  <c r="K52" i="1"/>
  <c r="Q52" i="1"/>
  <c r="E53" i="1"/>
  <c r="F53" i="1"/>
  <c r="G53" i="1"/>
  <c r="J53" i="1"/>
  <c r="Q53" i="1"/>
  <c r="E54" i="1"/>
  <c r="F54" i="1"/>
  <c r="G54" i="1"/>
  <c r="J54" i="1"/>
  <c r="Q54" i="1"/>
  <c r="E55" i="1"/>
  <c r="F55" i="1"/>
  <c r="G55" i="1"/>
  <c r="K55" i="1"/>
  <c r="Q55" i="1"/>
  <c r="E56" i="1"/>
  <c r="F56" i="1"/>
  <c r="G56" i="1"/>
  <c r="J56" i="1"/>
  <c r="Q56" i="1"/>
  <c r="E57" i="1"/>
  <c r="F57" i="1"/>
  <c r="G57" i="1"/>
  <c r="K57" i="1"/>
  <c r="Q57" i="1"/>
  <c r="E58" i="1"/>
  <c r="F58" i="1"/>
  <c r="G58" i="1"/>
  <c r="K58" i="1"/>
  <c r="Q58" i="1"/>
  <c r="E59" i="1"/>
  <c r="F59" i="1"/>
  <c r="G59" i="1"/>
  <c r="K59" i="1"/>
  <c r="Q59" i="1"/>
  <c r="E60" i="1"/>
  <c r="F60" i="1"/>
  <c r="G60" i="1"/>
  <c r="K60" i="1"/>
  <c r="Q60" i="1"/>
  <c r="E61" i="1"/>
  <c r="F61" i="1"/>
  <c r="G61" i="1"/>
  <c r="J61" i="1"/>
  <c r="Q61" i="1"/>
  <c r="E62" i="1"/>
  <c r="F62" i="1"/>
  <c r="G62" i="1"/>
  <c r="J62" i="1"/>
  <c r="Q62" i="1"/>
  <c r="E63" i="1"/>
  <c r="F63" i="1"/>
  <c r="G63" i="1"/>
  <c r="K63" i="1"/>
  <c r="Q63" i="1"/>
  <c r="E64" i="1"/>
  <c r="F64" i="1"/>
  <c r="G64" i="1"/>
  <c r="K64" i="1"/>
  <c r="Q64" i="1"/>
  <c r="E65" i="1"/>
  <c r="F65" i="1"/>
  <c r="G65" i="1"/>
  <c r="K65" i="1"/>
  <c r="Q65" i="1"/>
  <c r="E66" i="1"/>
  <c r="F66" i="1"/>
  <c r="G66" i="1"/>
  <c r="K66" i="1"/>
  <c r="Q66" i="1"/>
  <c r="E67" i="1"/>
  <c r="F67" i="1"/>
  <c r="G67" i="1"/>
  <c r="K67" i="1"/>
  <c r="Q67" i="1"/>
  <c r="E68" i="1"/>
  <c r="F68" i="1"/>
  <c r="G68" i="1"/>
  <c r="K68" i="1"/>
  <c r="Q68" i="1"/>
  <c r="E69" i="1"/>
  <c r="F69" i="1"/>
  <c r="G69" i="1"/>
  <c r="K69" i="1"/>
  <c r="Q69" i="1"/>
  <c r="E70" i="1"/>
  <c r="F70" i="1"/>
  <c r="G70" i="1"/>
  <c r="K70" i="1"/>
  <c r="Q70" i="1"/>
  <c r="E71" i="1"/>
  <c r="F71" i="1"/>
  <c r="G71" i="1"/>
  <c r="K71" i="1"/>
  <c r="Q71" i="1"/>
  <c r="E72" i="1"/>
  <c r="F72" i="1"/>
  <c r="G72" i="1"/>
  <c r="J72" i="1"/>
  <c r="Q72" i="1"/>
  <c r="E73" i="1"/>
  <c r="F73" i="1"/>
  <c r="G73" i="1"/>
  <c r="K73" i="1"/>
  <c r="Q73" i="1"/>
  <c r="E74" i="1"/>
  <c r="F74" i="1"/>
  <c r="G74" i="1"/>
  <c r="K74" i="1"/>
  <c r="Q74" i="1"/>
  <c r="E75" i="1"/>
  <c r="F75" i="1"/>
  <c r="G75" i="1"/>
  <c r="M75" i="1"/>
  <c r="Q75" i="1"/>
  <c r="E76" i="1"/>
  <c r="F76" i="1"/>
  <c r="G76" i="1"/>
  <c r="K76" i="1"/>
  <c r="Q76" i="1"/>
  <c r="E77" i="1"/>
  <c r="F77" i="1"/>
  <c r="G77" i="1"/>
  <c r="K77" i="1"/>
  <c r="Q77" i="1"/>
  <c r="E78" i="1"/>
  <c r="F78" i="1"/>
  <c r="G78" i="1"/>
  <c r="J78" i="1"/>
  <c r="Q78" i="1"/>
  <c r="E79" i="1"/>
  <c r="F79" i="1"/>
  <c r="G79" i="1"/>
  <c r="K79" i="1"/>
  <c r="Q79" i="1"/>
  <c r="E80" i="1"/>
  <c r="F80" i="1"/>
  <c r="G80" i="1"/>
  <c r="K80" i="1"/>
  <c r="Q80" i="1"/>
  <c r="E81" i="1"/>
  <c r="F81" i="1"/>
  <c r="G81" i="1"/>
  <c r="K81" i="1"/>
  <c r="Q81" i="1"/>
  <c r="E82" i="1"/>
  <c r="F82" i="1"/>
  <c r="G82" i="1"/>
  <c r="K82" i="1"/>
  <c r="Q82" i="1"/>
  <c r="E83" i="1"/>
  <c r="F83" i="1"/>
  <c r="G83" i="1"/>
  <c r="K83" i="1"/>
  <c r="Q83" i="1"/>
  <c r="E84" i="1"/>
  <c r="F84" i="1"/>
  <c r="G84" i="1"/>
  <c r="K84" i="1"/>
  <c r="Q84" i="1"/>
  <c r="E85" i="1"/>
  <c r="F85" i="1"/>
  <c r="G85" i="1"/>
  <c r="K85" i="1"/>
  <c r="Q85" i="1"/>
  <c r="E86" i="1"/>
  <c r="F86" i="1"/>
  <c r="G86" i="1"/>
  <c r="K86" i="1"/>
  <c r="Q86" i="1"/>
  <c r="E87" i="1"/>
  <c r="F87" i="1"/>
  <c r="G87" i="1"/>
  <c r="K87" i="1"/>
  <c r="Q87" i="1"/>
  <c r="E88" i="1"/>
  <c r="F88" i="1"/>
  <c r="G88" i="1"/>
  <c r="K88" i="1"/>
  <c r="Q88" i="1"/>
  <c r="E89" i="1"/>
  <c r="F89" i="1"/>
  <c r="G89" i="1"/>
  <c r="K89" i="1"/>
  <c r="Q89" i="1"/>
  <c r="E90" i="1"/>
  <c r="F90" i="1"/>
  <c r="G90" i="1"/>
  <c r="K90" i="1"/>
  <c r="Q90" i="1"/>
  <c r="E91" i="1"/>
  <c r="F91" i="1"/>
  <c r="G91" i="1"/>
  <c r="K91" i="1"/>
  <c r="Q91" i="1"/>
  <c r="A11" i="2"/>
  <c r="B11" i="2"/>
  <c r="C11" i="2"/>
  <c r="E11" i="2"/>
  <c r="D11" i="2"/>
  <c r="G11" i="2"/>
  <c r="H11" i="2"/>
  <c r="A12" i="2"/>
  <c r="C12" i="2"/>
  <c r="E12" i="2"/>
  <c r="D12" i="2"/>
  <c r="G12" i="2"/>
  <c r="H12" i="2"/>
  <c r="B12" i="2"/>
  <c r="A13" i="2"/>
  <c r="C13" i="2"/>
  <c r="D13" i="2"/>
  <c r="E13" i="2"/>
  <c r="G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C16" i="2"/>
  <c r="E16" i="2"/>
  <c r="D16" i="2"/>
  <c r="G16" i="2"/>
  <c r="H16" i="2"/>
  <c r="B16" i="2"/>
  <c r="A17" i="2"/>
  <c r="D17" i="2"/>
  <c r="G17" i="2"/>
  <c r="C17" i="2"/>
  <c r="E17" i="2"/>
  <c r="H17" i="2"/>
  <c r="B17" i="2"/>
  <c r="A18" i="2"/>
  <c r="B18" i="2"/>
  <c r="C18" i="2"/>
  <c r="D18" i="2"/>
  <c r="E18" i="2"/>
  <c r="G18" i="2"/>
  <c r="H18" i="2"/>
  <c r="A19" i="2"/>
  <c r="B19" i="2"/>
  <c r="C19" i="2"/>
  <c r="E19" i="2"/>
  <c r="D19" i="2"/>
  <c r="G19" i="2"/>
  <c r="H19" i="2"/>
  <c r="A20" i="2"/>
  <c r="C20" i="2"/>
  <c r="E20" i="2"/>
  <c r="D20" i="2"/>
  <c r="G20" i="2"/>
  <c r="H20" i="2"/>
  <c r="B20" i="2"/>
  <c r="A21" i="2"/>
  <c r="B21" i="2"/>
  <c r="C21" i="2"/>
  <c r="D21" i="2"/>
  <c r="E21" i="2"/>
  <c r="G21" i="2"/>
  <c r="H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C24" i="2"/>
  <c r="E24" i="2"/>
  <c r="D24" i="2"/>
  <c r="G24" i="2"/>
  <c r="H24" i="2"/>
  <c r="B24" i="2"/>
  <c r="A25" i="2"/>
  <c r="D25" i="2"/>
  <c r="G25" i="2"/>
  <c r="C25" i="2"/>
  <c r="E25" i="2"/>
  <c r="H25" i="2"/>
  <c r="B25" i="2"/>
  <c r="A26" i="2"/>
  <c r="B26" i="2"/>
  <c r="C26" i="2"/>
  <c r="D26" i="2"/>
  <c r="E26" i="2"/>
  <c r="G26" i="2"/>
  <c r="H26" i="2"/>
  <c r="A27" i="2"/>
  <c r="B27" i="2"/>
  <c r="C27" i="2"/>
  <c r="E27" i="2"/>
  <c r="D27" i="2"/>
  <c r="G27" i="2"/>
  <c r="H27" i="2"/>
  <c r="A28" i="2"/>
  <c r="C28" i="2"/>
  <c r="E28" i="2"/>
  <c r="D28" i="2"/>
  <c r="G28" i="2"/>
  <c r="H28" i="2"/>
  <c r="B28" i="2"/>
  <c r="A29" i="2"/>
  <c r="B29" i="2"/>
  <c r="C29" i="2"/>
  <c r="D29" i="2"/>
  <c r="E29" i="2"/>
  <c r="G29" i="2"/>
  <c r="H29" i="2"/>
  <c r="A30" i="2"/>
  <c r="D30" i="2"/>
  <c r="G30" i="2"/>
  <c r="C30" i="2"/>
  <c r="E30" i="2"/>
  <c r="H30" i="2"/>
  <c r="B30" i="2"/>
  <c r="A31" i="2"/>
  <c r="D31" i="2"/>
  <c r="G31" i="2"/>
  <c r="C31" i="2"/>
  <c r="E31" i="2"/>
  <c r="H31" i="2"/>
  <c r="B31" i="2"/>
  <c r="A32" i="2"/>
  <c r="C32" i="2"/>
  <c r="E32" i="2"/>
  <c r="D32" i="2"/>
  <c r="G32" i="2"/>
  <c r="H32" i="2"/>
  <c r="B32" i="2"/>
  <c r="A33" i="2"/>
  <c r="D33" i="2"/>
  <c r="G33" i="2"/>
  <c r="C33" i="2"/>
  <c r="E33" i="2"/>
  <c r="H33" i="2"/>
  <c r="B33" i="2"/>
  <c r="A34" i="2"/>
  <c r="B34" i="2"/>
  <c r="C34" i="2"/>
  <c r="D34" i="2"/>
  <c r="E34" i="2"/>
  <c r="G34" i="2"/>
  <c r="H34" i="2"/>
  <c r="A35" i="2"/>
  <c r="B35" i="2"/>
  <c r="C35" i="2"/>
  <c r="E35" i="2"/>
  <c r="D35" i="2"/>
  <c r="G35" i="2"/>
  <c r="H35" i="2"/>
  <c r="A36" i="2"/>
  <c r="C36" i="2"/>
  <c r="E36" i="2"/>
  <c r="D36" i="2"/>
  <c r="G36" i="2"/>
  <c r="H36" i="2"/>
  <c r="B36" i="2"/>
  <c r="A37" i="2"/>
  <c r="B37" i="2"/>
  <c r="C37" i="2"/>
  <c r="D37" i="2"/>
  <c r="E37" i="2"/>
  <c r="G37" i="2"/>
  <c r="H37" i="2"/>
  <c r="A38" i="2"/>
  <c r="D38" i="2"/>
  <c r="G38" i="2"/>
  <c r="C38" i="2"/>
  <c r="E38" i="2"/>
  <c r="H38" i="2"/>
  <c r="B38" i="2"/>
  <c r="A39" i="2"/>
  <c r="D39" i="2"/>
  <c r="G39" i="2"/>
  <c r="C39" i="2"/>
  <c r="E39" i="2"/>
  <c r="H39" i="2"/>
  <c r="B39" i="2"/>
  <c r="A40" i="2"/>
  <c r="C40" i="2"/>
  <c r="E40" i="2"/>
  <c r="D40" i="2"/>
  <c r="G40" i="2"/>
  <c r="H40" i="2"/>
  <c r="B40" i="2"/>
  <c r="A41" i="2"/>
  <c r="D41" i="2"/>
  <c r="G41" i="2"/>
  <c r="C41" i="2"/>
  <c r="E41" i="2"/>
  <c r="H41" i="2"/>
  <c r="B41" i="2"/>
  <c r="A42" i="2"/>
  <c r="B42" i="2"/>
  <c r="C42" i="2"/>
  <c r="D42" i="2"/>
  <c r="E42" i="2"/>
  <c r="G42" i="2"/>
  <c r="H42" i="2"/>
  <c r="A43" i="2"/>
  <c r="B43" i="2"/>
  <c r="C43" i="2"/>
  <c r="E43" i="2"/>
  <c r="D43" i="2"/>
  <c r="G43" i="2"/>
  <c r="H43" i="2"/>
  <c r="A44" i="2"/>
  <c r="C44" i="2"/>
  <c r="E44" i="2"/>
  <c r="D44" i="2"/>
  <c r="G44" i="2"/>
  <c r="H44" i="2"/>
  <c r="B44" i="2"/>
  <c r="A45" i="2"/>
  <c r="B45" i="2"/>
  <c r="C45" i="2"/>
  <c r="D45" i="2"/>
  <c r="E45" i="2"/>
  <c r="G45" i="2"/>
  <c r="H45" i="2"/>
  <c r="A46" i="2"/>
  <c r="D46" i="2"/>
  <c r="G46" i="2"/>
  <c r="C46" i="2"/>
  <c r="E46" i="2"/>
  <c r="H46" i="2"/>
  <c r="B46" i="2"/>
  <c r="A47" i="2"/>
  <c r="D47" i="2"/>
  <c r="G47" i="2"/>
  <c r="C47" i="2"/>
  <c r="E47" i="2"/>
  <c r="H47" i="2"/>
  <c r="B47" i="2"/>
  <c r="A48" i="2"/>
  <c r="C48" i="2"/>
  <c r="E48" i="2"/>
  <c r="D48" i="2"/>
  <c r="G48" i="2"/>
  <c r="H48" i="2"/>
  <c r="B48" i="2"/>
  <c r="A49" i="2"/>
  <c r="D49" i="2"/>
  <c r="G49" i="2"/>
  <c r="C49" i="2"/>
  <c r="E49" i="2"/>
  <c r="H49" i="2"/>
  <c r="B49" i="2"/>
  <c r="A50" i="2"/>
  <c r="B50" i="2"/>
  <c r="D50" i="2"/>
  <c r="G50" i="2"/>
  <c r="C50" i="2"/>
  <c r="E50" i="2"/>
  <c r="H50" i="2"/>
  <c r="A51" i="2"/>
  <c r="B51" i="2"/>
  <c r="C51" i="2"/>
  <c r="E51" i="2"/>
  <c r="D51" i="2"/>
  <c r="G51" i="2"/>
  <c r="H51" i="2"/>
  <c r="A52" i="2"/>
  <c r="C52" i="2"/>
  <c r="E52" i="2"/>
  <c r="D52" i="2"/>
  <c r="G52" i="2"/>
  <c r="H52" i="2"/>
  <c r="B52" i="2"/>
  <c r="A53" i="2"/>
  <c r="B53" i="2"/>
  <c r="C53" i="2"/>
  <c r="D53" i="2"/>
  <c r="E53" i="2"/>
  <c r="G53" i="2"/>
  <c r="H53" i="2"/>
  <c r="A54" i="2"/>
  <c r="D54" i="2"/>
  <c r="G54" i="2"/>
  <c r="C54" i="2"/>
  <c r="E54" i="2"/>
  <c r="H54" i="2"/>
  <c r="B54" i="2"/>
  <c r="A55" i="2"/>
  <c r="D55" i="2"/>
  <c r="G55" i="2"/>
  <c r="C55" i="2"/>
  <c r="E55" i="2"/>
  <c r="H55" i="2"/>
  <c r="B55" i="2"/>
  <c r="A56" i="2"/>
  <c r="C56" i="2"/>
  <c r="E56" i="2"/>
  <c r="D56" i="2"/>
  <c r="G56" i="2"/>
  <c r="H56" i="2"/>
  <c r="B56" i="2"/>
  <c r="A57" i="2"/>
  <c r="D57" i="2"/>
  <c r="G57" i="2"/>
  <c r="C57" i="2"/>
  <c r="E57" i="2"/>
  <c r="H57" i="2"/>
  <c r="B57" i="2"/>
  <c r="A58" i="2"/>
  <c r="B58" i="2"/>
  <c r="D58" i="2"/>
  <c r="G58" i="2"/>
  <c r="C58" i="2"/>
  <c r="E58" i="2"/>
  <c r="H58" i="2"/>
  <c r="A59" i="2"/>
  <c r="B59" i="2"/>
  <c r="C59" i="2"/>
  <c r="E59" i="2"/>
  <c r="D59" i="2"/>
  <c r="G59" i="2"/>
  <c r="H59" i="2"/>
  <c r="A60" i="2"/>
  <c r="C60" i="2"/>
  <c r="E60" i="2"/>
  <c r="D60" i="2"/>
  <c r="G60" i="2"/>
  <c r="H60" i="2"/>
  <c r="B60" i="2"/>
  <c r="A61" i="2"/>
  <c r="B61" i="2"/>
  <c r="C61" i="2"/>
  <c r="D61" i="2"/>
  <c r="E61" i="2"/>
  <c r="G61" i="2"/>
  <c r="H61" i="2"/>
  <c r="A62" i="2"/>
  <c r="D62" i="2"/>
  <c r="G62" i="2"/>
  <c r="C62" i="2"/>
  <c r="E62" i="2"/>
  <c r="H62" i="2"/>
  <c r="B62" i="2"/>
  <c r="A63" i="2"/>
  <c r="D63" i="2"/>
  <c r="G63" i="2"/>
  <c r="C63" i="2"/>
  <c r="E63" i="2"/>
  <c r="H63" i="2"/>
  <c r="B63" i="2"/>
  <c r="A64" i="2"/>
  <c r="C64" i="2"/>
  <c r="E64" i="2"/>
  <c r="D64" i="2"/>
  <c r="G64" i="2"/>
  <c r="H64" i="2"/>
  <c r="B64" i="2"/>
  <c r="A65" i="2"/>
  <c r="D65" i="2"/>
  <c r="G65" i="2"/>
  <c r="C65" i="2"/>
  <c r="E65" i="2"/>
  <c r="H65" i="2"/>
  <c r="B65" i="2"/>
  <c r="A66" i="2"/>
  <c r="B66" i="2"/>
  <c r="D66" i="2"/>
  <c r="G66" i="2"/>
  <c r="C66" i="2"/>
  <c r="E66" i="2"/>
  <c r="H66" i="2"/>
  <c r="A67" i="2"/>
  <c r="B67" i="2"/>
  <c r="C67" i="2"/>
  <c r="E67" i="2"/>
  <c r="D67" i="2"/>
  <c r="G67" i="2"/>
  <c r="H67" i="2"/>
  <c r="A68" i="2"/>
  <c r="C68" i="2"/>
  <c r="E68" i="2"/>
  <c r="D68" i="2"/>
  <c r="G68" i="2"/>
  <c r="H68" i="2"/>
  <c r="B68" i="2"/>
  <c r="A69" i="2"/>
  <c r="B69" i="2"/>
  <c r="C69" i="2"/>
  <c r="D69" i="2"/>
  <c r="E69" i="2"/>
  <c r="G69" i="2"/>
  <c r="H69" i="2"/>
  <c r="A70" i="2"/>
  <c r="B70" i="2"/>
  <c r="D70" i="2"/>
  <c r="G70" i="2"/>
  <c r="C70" i="2"/>
  <c r="E70" i="2"/>
  <c r="H70" i="2"/>
  <c r="A71" i="2"/>
  <c r="D71" i="2"/>
  <c r="G71" i="2"/>
  <c r="C71" i="2"/>
  <c r="E71" i="2"/>
  <c r="H71" i="2"/>
  <c r="B71" i="2"/>
  <c r="A72" i="2"/>
  <c r="C72" i="2"/>
  <c r="E72" i="2"/>
  <c r="D72" i="2"/>
  <c r="G72" i="2"/>
  <c r="H72" i="2"/>
  <c r="B72" i="2"/>
  <c r="A73" i="2"/>
  <c r="D73" i="2"/>
  <c r="G73" i="2"/>
  <c r="C73" i="2"/>
  <c r="E73" i="2"/>
  <c r="H73" i="2"/>
  <c r="B73" i="2"/>
  <c r="A74" i="2"/>
  <c r="B74" i="2"/>
  <c r="D74" i="2"/>
  <c r="G74" i="2"/>
  <c r="C74" i="2"/>
  <c r="E74" i="2"/>
  <c r="H74" i="2"/>
  <c r="A75" i="2"/>
  <c r="C75" i="2"/>
  <c r="E75" i="2"/>
  <c r="D75" i="2"/>
  <c r="G75" i="2"/>
  <c r="H75" i="2"/>
  <c r="B75" i="2"/>
  <c r="C12" i="1"/>
  <c r="C11" i="1"/>
  <c r="O94" i="1" l="1"/>
  <c r="O93" i="1"/>
  <c r="O92" i="1"/>
  <c r="O65" i="1"/>
  <c r="O68" i="1"/>
  <c r="O72" i="1"/>
  <c r="O79" i="1"/>
  <c r="O88" i="1"/>
  <c r="O71" i="1"/>
  <c r="O75" i="1"/>
  <c r="O85" i="1"/>
  <c r="O67" i="1"/>
  <c r="O86" i="1"/>
  <c r="O51" i="1"/>
  <c r="O84" i="1"/>
  <c r="O87" i="1"/>
  <c r="O64" i="1"/>
  <c r="C15" i="1"/>
  <c r="O77" i="1"/>
  <c r="O81" i="1"/>
  <c r="O89" i="1"/>
  <c r="O91" i="1"/>
  <c r="O76" i="1"/>
  <c r="O83" i="1"/>
  <c r="O74" i="1"/>
  <c r="O69" i="1"/>
  <c r="O78" i="1"/>
  <c r="O90" i="1"/>
  <c r="O66" i="1"/>
  <c r="O73" i="1"/>
  <c r="O70" i="1"/>
  <c r="O55" i="1"/>
  <c r="O82" i="1"/>
  <c r="O80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<sst xmlns="http://schemas.openxmlformats.org/spreadsheetml/2006/main" count="732" uniqueCount="371">
  <si>
    <t>CF Tau / GSC 01262-00050</t>
  </si>
  <si>
    <t>System Type:</t>
  </si>
  <si>
    <t>EA/D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</si>
  <si>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</si>
  <si>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</si>
  <si>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</si>
  <si>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</si>
  <si>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</si>
  <si>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</si>
  <si>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</si>
  <si>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</si>
  <si>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</si>
  <si>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</si>
  <si>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</si>
  <si>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</si>
  <si>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</si>
  <si>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</si>
  <si>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</si>
  <si>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</si>
  <si>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</si>
  <si>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</si>
  <si>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</si>
  <si>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</si>
  <si>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</si>
  <si>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</si>
  <si>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</si>
  <si>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</si>
  <si>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</si>
  <si>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</si>
  <si>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</si>
  <si>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</si>
  <si>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</si>
  <si>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</si>
  <si>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</si>
  <si>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</si>
  <si>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</si>
  <si>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</si>
  <si>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</si>
  <si>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</si>
  <si>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</si>
  <si>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</si>
  <si>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</si>
  <si>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BAD?</t>
  </si>
  <si>
    <t> AN 252.393 </t>
  </si>
  <si>
    <t>I</t>
  </si>
  <si>
    <t> AA 26.344 </t>
  </si>
  <si>
    <t>II</t>
  </si>
  <si>
    <t>GCVS 4</t>
  </si>
  <si>
    <t> IODE 4.3.34 </t>
  </si>
  <si>
    <t> SAC 22.88 </t>
  </si>
  <si>
    <t> AA 10.106 </t>
  </si>
  <si>
    <t> AAC 5.9 </t>
  </si>
  <si>
    <t> MVS 2.126 </t>
  </si>
  <si>
    <t> AA 7.190 </t>
  </si>
  <si>
    <t> AA 8.192 </t>
  </si>
  <si>
    <t> VSSC 60.23 </t>
  </si>
  <si>
    <t>BAV-R 35,1</t>
  </si>
  <si>
    <t>K</t>
  </si>
  <si>
    <t>BAAVSS 61,14</t>
  </si>
  <si>
    <t>v</t>
  </si>
  <si>
    <t> VSSC 68.35 </t>
  </si>
  <si>
    <t>BAV-M 46</t>
  </si>
  <si>
    <t> VSSC 73 </t>
  </si>
  <si>
    <t>BAV-M 56</t>
  </si>
  <si>
    <t>phe</t>
  </si>
  <si>
    <t>BAVM 56 </t>
  </si>
  <si>
    <t>BBSAG Bull.112</t>
  </si>
  <si>
    <t>ccd</t>
  </si>
  <si>
    <t>Paschke</t>
  </si>
  <si>
    <t>A</t>
  </si>
  <si>
    <t>B</t>
  </si>
  <si>
    <t>IBVS 5067</t>
  </si>
  <si>
    <t>IBVS 5251</t>
  </si>
  <si>
    <t>VSB 40 </t>
  </si>
  <si>
    <t>IBVS 5487</t>
  </si>
  <si>
    <t>IBVS 5649</t>
  </si>
  <si>
    <t>VSB 42 </t>
  </si>
  <si>
    <t>IBVS 5670</t>
  </si>
  <si>
    <t>IBVS 5657</t>
  </si>
  <si>
    <t>IBVS 5731</t>
  </si>
  <si>
    <t>IBVS 5764</t>
  </si>
  <si>
    <t>JAVSO..41..122</t>
  </si>
  <si>
    <t>IBVS 5761</t>
  </si>
  <si>
    <t>IBVS 5910</t>
  </si>
  <si>
    <t>BAVM 193 </t>
  </si>
  <si>
    <t>IBVS 5918</t>
  </si>
  <si>
    <t>IBVS 5972</t>
  </si>
  <si>
    <t>IBVS 5992</t>
  </si>
  <si>
    <t>IBVS 6011</t>
  </si>
  <si>
    <t>OEJV 0160</t>
  </si>
  <si>
    <t>VSB 56 </t>
  </si>
  <si>
    <t>OEJV 0168</t>
  </si>
  <si>
    <t>IBVS 6118</t>
  </si>
  <si>
    <t>VSB-064</t>
  </si>
  <si>
    <t>Rc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</si>
  <si>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</si>
  <si>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</si>
  <si>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</si>
  <si>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</si>
  <si>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</si>
  <si>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</si>
  <si>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</si>
  <si>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</si>
  <si>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2430651.230 </t>
  </si>
  <si>
    <t> 18.10.1942 17:31 </t>
  </si>
  <si>
    <t> 0.000 </t>
  </si>
  <si>
    <t>V </t>
  </si>
  <si>
    <t> W.Zessewitsch </t>
  </si>
  <si>
    <t>2446001.488 </t>
  </si>
  <si>
    <t> 27.10.1984 23:42 </t>
  </si>
  <si>
    <t> -0.049 </t>
  </si>
  <si>
    <t>F </t>
  </si>
  <si>
    <t> H.Vielmetter </t>
  </si>
  <si>
    <t>BAVM 39 </t>
  </si>
  <si>
    <t>2446023.537 </t>
  </si>
  <si>
    <t> 19.11.1984 00:53 </t>
  </si>
  <si>
    <t> -0.047 </t>
  </si>
  <si>
    <t>2446059.360 </t>
  </si>
  <si>
    <t> 24.12.1984 20:38 </t>
  </si>
  <si>
    <t> -0.051 </t>
  </si>
  <si>
    <t> T.Brelstaff </t>
  </si>
  <si>
    <t> VSSC 61.19 </t>
  </si>
  <si>
    <t>2446770.376 </t>
  </si>
  <si>
    <t> 05.12.1986 21:01 </t>
  </si>
  <si>
    <t> -0.055 </t>
  </si>
  <si>
    <t>BAVM 46 </t>
  </si>
  <si>
    <t>2450008.509 </t>
  </si>
  <si>
    <t> 18.10.1995 00:12 </t>
  </si>
  <si>
    <t> -0.092 </t>
  </si>
  <si>
    <t>E </t>
  </si>
  <si>
    <t>?</t>
  </si>
  <si>
    <t> A.Paschke </t>
  </si>
  <si>
    <t> BBS 112 </t>
  </si>
  <si>
    <t>2451919.7246 </t>
  </si>
  <si>
    <t> 10.01.2001 05:23 </t>
  </si>
  <si>
    <t> -0.0865 </t>
  </si>
  <si>
    <t> Sandberg Lacy et a </t>
  </si>
  <si>
    <t>IBVS 5067 </t>
  </si>
  <si>
    <t>2451966.5772 </t>
  </si>
  <si>
    <t> 26.02.2001 01:51 </t>
  </si>
  <si>
    <t> -0.0840 </t>
  </si>
  <si>
    <t>2452178.7796 </t>
  </si>
  <si>
    <t> 26.09.2001 06:42 </t>
  </si>
  <si>
    <t> -0.0851 </t>
  </si>
  <si>
    <t>G</t>
  </si>
  <si>
    <t> C.Lacy et al. </t>
  </si>
  <si>
    <t>IBVS 5251 </t>
  </si>
  <si>
    <t>2452972.4836 </t>
  </si>
  <si>
    <t> 28.11.2003 23:36 </t>
  </si>
  <si>
    <t> -0.0775 </t>
  </si>
  <si>
    <t> B.Albayrak et al. </t>
  </si>
  <si>
    <t>IBVS 5649 </t>
  </si>
  <si>
    <t>2452979.3728 </t>
  </si>
  <si>
    <t> 05.12.2003 20:56 </t>
  </si>
  <si>
    <t> -0.0780 </t>
  </si>
  <si>
    <t>2453311.4615 </t>
  </si>
  <si>
    <t> 01.11.2004 23:04 </t>
  </si>
  <si>
    <t> -0.0740 </t>
  </si>
  <si>
    <t>2453341.7779 </t>
  </si>
  <si>
    <t> 02.12.2004 06:40 </t>
  </si>
  <si>
    <t> -0.0724 </t>
  </si>
  <si>
    <t> C.Lacy </t>
  </si>
  <si>
    <t>IBVS 5670 </t>
  </si>
  <si>
    <t>2453366.5851 </t>
  </si>
  <si>
    <t> 27.12.2004 02:02 </t>
  </si>
  <si>
    <t> -0.0682 </t>
  </si>
  <si>
    <t>2453377.6090 </t>
  </si>
  <si>
    <t> 07.01.2005 02:36 </t>
  </si>
  <si>
    <t> -0.0679 </t>
  </si>
  <si>
    <t>2453399.6557 </t>
  </si>
  <si>
    <t> 29.01.2005 03:44 </t>
  </si>
  <si>
    <t> -0.0683 </t>
  </si>
  <si>
    <t>2453409.2994 </t>
  </si>
  <si>
    <t> 07.02.2005 19:11 </t>
  </si>
  <si>
    <t> -0.0702 </t>
  </si>
  <si>
    <t>-I</t>
  </si>
  <si>
    <t> v.Poschinger </t>
  </si>
  <si>
    <t>BAVM 173 </t>
  </si>
  <si>
    <t>2453683.5127 </t>
  </si>
  <si>
    <t> 09.11.2005 00:18 </t>
  </si>
  <si>
    <t>8357.5</t>
  </si>
  <si>
    <t> -0.0680 </t>
  </si>
  <si>
    <t>C </t>
  </si>
  <si>
    <t> F.Agerer </t>
  </si>
  <si>
    <t>BAVM 178 </t>
  </si>
  <si>
    <t>2453684.8897 </t>
  </si>
  <si>
    <t> 10.11.2005 09:21 </t>
  </si>
  <si>
    <t>8358</t>
  </si>
  <si>
    <t> -0.0689 </t>
  </si>
  <si>
    <t>2453727.6087 </t>
  </si>
  <si>
    <t> 23.12.2005 02:36 </t>
  </si>
  <si>
    <t>8373.5</t>
  </si>
  <si>
    <t> -0.0662 </t>
  </si>
  <si>
    <t>2453738.6338 </t>
  </si>
  <si>
    <t> 03.01.2006 03:12 </t>
  </si>
  <si>
    <t>8377.5</t>
  </si>
  <si>
    <t> -0.0647 </t>
  </si>
  <si>
    <t>IBVS 5764 </t>
  </si>
  <si>
    <t>2453742.7627 </t>
  </si>
  <si>
    <t> 07.01.2006 06:18 </t>
  </si>
  <si>
    <t>8379</t>
  </si>
  <si>
    <t> -0.0696 </t>
  </si>
  <si>
    <t>2453749.6548 </t>
  </si>
  <si>
    <t> 14.01.2006 03:42 </t>
  </si>
  <si>
    <t>8381.5</t>
  </si>
  <si>
    <t> -0.0672 </t>
  </si>
  <si>
    <t>2453753.7858 </t>
  </si>
  <si>
    <t> 18.01.2006 06:51 </t>
  </si>
  <si>
    <t>8383</t>
  </si>
  <si>
    <t> -0.0701 </t>
  </si>
  <si>
    <t>2454041.7675 </t>
  </si>
  <si>
    <t> 02.11.2006 06:25 </t>
  </si>
  <si>
    <t>8487.5</t>
  </si>
  <si>
    <t> -0.0789 </t>
  </si>
  <si>
    <t>2454041.7705 </t>
  </si>
  <si>
    <t> 02.11.2006 06:29 </t>
  </si>
  <si>
    <t> -0.0759 </t>
  </si>
  <si>
    <t>2454070.7043 </t>
  </si>
  <si>
    <t> 01.12.2006 04:54 </t>
  </si>
  <si>
    <t>8498</t>
  </si>
  <si>
    <t> J.Bialozynski </t>
  </si>
  <si>
    <t> JAAVSO 41;122 </t>
  </si>
  <si>
    <t>2454084.4860 </t>
  </si>
  <si>
    <t> 14.12.2006 23:39 </t>
  </si>
  <si>
    <t>8503</t>
  </si>
  <si>
    <t> -0.0767 </t>
  </si>
  <si>
    <t>BAVM 183 </t>
  </si>
  <si>
    <t>2454085.8649 </t>
  </si>
  <si>
    <t> 16.12.2006 08:45 </t>
  </si>
  <si>
    <t>8503.5</t>
  </si>
  <si>
    <t> -0.0757 </t>
  </si>
  <si>
    <t>2454384.8710 </t>
  </si>
  <si>
    <t> 11.10.2007 08:54 </t>
  </si>
  <si>
    <t>8612</t>
  </si>
  <si>
    <t> -0.0837 </t>
  </si>
  <si>
    <t>IBVS 5910 </t>
  </si>
  <si>
    <t>2454406.9206 </t>
  </si>
  <si>
    <t> 02.11.2007 10:05 </t>
  </si>
  <si>
    <t>8620</t>
  </si>
  <si>
    <t> -0.0812 </t>
  </si>
  <si>
    <t>2454734.8615 </t>
  </si>
  <si>
    <t> 25.09.2008 08:40 </t>
  </si>
  <si>
    <t>8739</t>
  </si>
  <si>
    <t> -0.0912 </t>
  </si>
  <si>
    <t>2454842.3397 </t>
  </si>
  <si>
    <t> 10.01.2009 20:09 </t>
  </si>
  <si>
    <t>8778</t>
  </si>
  <si>
    <t> -0.0927 </t>
  </si>
  <si>
    <t> P.Frank </t>
  </si>
  <si>
    <t>BAVM 209 </t>
  </si>
  <si>
    <t>2455572.6417 </t>
  </si>
  <si>
    <t> 11.01.2011 03:24 </t>
  </si>
  <si>
    <t>9043</t>
  </si>
  <si>
    <t> -0.1016 </t>
  </si>
  <si>
    <t> R.Diethelm </t>
  </si>
  <si>
    <t>IBVS 5992 </t>
  </si>
  <si>
    <t>2455868.8932 </t>
  </si>
  <si>
    <t> 03.11.2011 09:26 </t>
  </si>
  <si>
    <t>9150.5</t>
  </si>
  <si>
    <t> -0.1082 </t>
  </si>
  <si>
    <t>IBVS 6011 </t>
  </si>
  <si>
    <t>2455994.28811 </t>
  </si>
  <si>
    <t> 07.03.2012 18:54 </t>
  </si>
  <si>
    <t>9196</t>
  </si>
  <si>
    <t> -0.10633 </t>
  </si>
  <si>
    <t>R</t>
  </si>
  <si>
    <t> L.Šmelcer </t>
  </si>
  <si>
    <t>OEJV 0160 </t>
  </si>
  <si>
    <t>2455994.28821 </t>
  </si>
  <si>
    <t> 07.03.2012 18:55 </t>
  </si>
  <si>
    <t> -0.10623 </t>
  </si>
  <si>
    <t>2456246.44109 </t>
  </si>
  <si>
    <t> 14.11.2012 22:35 </t>
  </si>
  <si>
    <t>9287.5</t>
  </si>
  <si>
    <t> -0.11728 </t>
  </si>
  <si>
    <t>2456246.44812 </t>
  </si>
  <si>
    <t> 14.11.2012 22:45 </t>
  </si>
  <si>
    <t> -0.11025 </t>
  </si>
  <si>
    <t>2456246.44989 </t>
  </si>
  <si>
    <t> 14.11.2012 22:47 </t>
  </si>
  <si>
    <t> -0.10848 </t>
  </si>
  <si>
    <t>2456654.3145 </t>
  </si>
  <si>
    <t> 27.12.2013 19:32 </t>
  </si>
  <si>
    <t>9435.5</t>
  </si>
  <si>
    <t> -0.1156 </t>
  </si>
  <si>
    <t>BAVM 234 </t>
  </si>
  <si>
    <t>2426382.364 </t>
  </si>
  <si>
    <t> 09.02.1931 20:44 </t>
  </si>
  <si>
    <t> 0.008 </t>
  </si>
  <si>
    <t>P </t>
  </si>
  <si>
    <t> O.Morgenroth </t>
  </si>
  <si>
    <t>2427713.505 </t>
  </si>
  <si>
    <t> 03.10.1934 00:07 </t>
  </si>
  <si>
    <t> 0.054 </t>
  </si>
  <si>
    <t> S.Piotrowski </t>
  </si>
  <si>
    <t>2427731.445 </t>
  </si>
  <si>
    <t> 20.10.1934 22:40 </t>
  </si>
  <si>
    <t> 0.080 </t>
  </si>
  <si>
    <t>2431001.227 </t>
  </si>
  <si>
    <t> 03.10.1943 17:26 </t>
  </si>
  <si>
    <t> -0.001 </t>
  </si>
  <si>
    <t>2431150.047 </t>
  </si>
  <si>
    <t> 29.02.1944 13:07 </t>
  </si>
  <si>
    <t> 0.001 </t>
  </si>
  <si>
    <t>2432894.520 </t>
  </si>
  <si>
    <t> 09.12.1948 00:28 </t>
  </si>
  <si>
    <t> -0.004 </t>
  </si>
  <si>
    <t> R.Szafraniec </t>
  </si>
  <si>
    <t>2433189.412 </t>
  </si>
  <si>
    <t> 29.09.1949 21:53 </t>
  </si>
  <si>
    <t> 0.007 </t>
  </si>
  <si>
    <t>2433211.449 </t>
  </si>
  <si>
    <t> 21.10.1949 22:46 </t>
  </si>
  <si>
    <t> -0.003 </t>
  </si>
  <si>
    <t>2433269.339 </t>
  </si>
  <si>
    <t> 18.12.1949 20:08 </t>
  </si>
  <si>
    <t> 0.013 </t>
  </si>
  <si>
    <t>2433539.373 </t>
  </si>
  <si>
    <t> 14.09.1950 20:57 </t>
  </si>
  <si>
    <t> -0.030 </t>
  </si>
  <si>
    <t>2435399.562 </t>
  </si>
  <si>
    <t> 19.10.1955 01:29 </t>
  </si>
  <si>
    <t> -0.066 </t>
  </si>
  <si>
    <t> H.Huth </t>
  </si>
  <si>
    <t>2435807.509 </t>
  </si>
  <si>
    <t> 30.11.1956 00:12 </t>
  </si>
  <si>
    <t> 0.009 </t>
  </si>
  <si>
    <t>2435876.375 </t>
  </si>
  <si>
    <t> 06.02.1957 21:00 </t>
  </si>
  <si>
    <t> -0.022 </t>
  </si>
  <si>
    <t>2437579.547 </t>
  </si>
  <si>
    <t> 07.10.1961 01:07 </t>
  </si>
  <si>
    <t> 0.010 </t>
  </si>
  <si>
    <t>2445326.332 </t>
  </si>
  <si>
    <t> 22.12.1982 19:58 </t>
  </si>
  <si>
    <t> -0.012 </t>
  </si>
  <si>
    <t>2446351.462 </t>
  </si>
  <si>
    <t> 12.10.1985 23:05 </t>
  </si>
  <si>
    <t> -0.073 </t>
  </si>
  <si>
    <t>2446442.408 </t>
  </si>
  <si>
    <t> 11.01.1986 21:47 </t>
  </si>
  <si>
    <t> -0.072 </t>
  </si>
  <si>
    <t>2447856.211 </t>
  </si>
  <si>
    <t> 25.11.1989 17:03 </t>
  </si>
  <si>
    <t> -0.040 </t>
  </si>
  <si>
    <t>2447864.4453 </t>
  </si>
  <si>
    <t> 03.12.1989 22:41 </t>
  </si>
  <si>
    <t> -0.0736 </t>
  </si>
  <si>
    <t>B;V</t>
  </si>
  <si>
    <t>2452621.1055 </t>
  </si>
  <si>
    <t> 12.12.2002 14:31 </t>
  </si>
  <si>
    <t> -0.0796 </t>
  </si>
  <si>
    <t> Nakajima </t>
  </si>
  <si>
    <t>2452993.1522 </t>
  </si>
  <si>
    <t> 19.12.2003 15:39 </t>
  </si>
  <si>
    <t>2454387.6264 </t>
  </si>
  <si>
    <t> 14.10.2007 03:02 </t>
  </si>
  <si>
    <t>8613</t>
  </si>
  <si>
    <t> -0.0842 </t>
  </si>
  <si>
    <t>o</t>
  </si>
  <si>
    <t> U.Schmidt </t>
  </si>
  <si>
    <t>2455153.7515 </t>
  </si>
  <si>
    <t> 18.11.2009 06:02 </t>
  </si>
  <si>
    <t>8891</t>
  </si>
  <si>
    <t> -0.0965 </t>
  </si>
  <si>
    <t>IBVS 5972 </t>
  </si>
  <si>
    <t>2456617.1065 </t>
  </si>
  <si>
    <t> 20.11.2013 14:33 </t>
  </si>
  <si>
    <t>9422</t>
  </si>
  <si>
    <t> -0.1191 </t>
  </si>
  <si>
    <t> K.Shiokawa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</si>
</sst>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7" formatCode="0.0000"/>
    <numFmt numFmtId="168" formatCode="dd/mm/yyyy"/>
  </numFmts>
  <fonts count="16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5" fillId="0" borderId="0"/>
  </cellStyleXfs>
  <cellXfs count="72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11" fillId="0" borderId="0" xfId="6" applyFont="1" applyAlignment="1">
      <alignment horizontal="left"/>
    </xf>
    <xf numFmtId="0" fontId="11" fillId="0" borderId="0" xfId="6" applyFont="1" applyBorder="1" applyAlignment="1">
      <alignment horizontal="center"/>
    </xf>
    <xf numFmtId="167" fontId="11" fillId="0" borderId="0" xfId="6" applyNumberFormat="1" applyFont="1" applyFill="1" applyBorder="1" applyAlignment="1" applyProtection="1">
      <alignment horizontal="left" vertical="top"/>
    </xf>
    <xf numFmtId="0" fontId="11" fillId="0" borderId="0" xfId="6" applyNumberFormat="1" applyFont="1" applyFill="1" applyBorder="1" applyAlignment="1" applyProtection="1">
      <alignment horizontal="left" vertical="top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4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4" fillId="2" borderId="11" xfId="5" applyNumberFormat="1" applyFont="1" applyFill="1" applyBorder="1" applyAlignment="1" applyProtection="1">
      <alignment horizontal="right"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168" fontId="0" fillId="0" borderId="0" xfId="0" applyNumberFormat="1" applyAlignme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8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</cellXfs>
  <cellStyles count="7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CF Tau - O-C Diagr.</a:t>
            </a:r>
          </a:p>
        </c:rich>
      </c:tx>
      <c:layout>
        <c:manualLayout>
          <c:xMode val="edge"/>
          <c:yMode val="edge"/>
          <c:x val="0.37310959659454329"/>
          <c:y val="3.45911949685534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9928103604338"/>
          <c:y val="0.26729641833854884"/>
          <c:w val="0.79831998286500694"/>
          <c:h val="0.5345928366770976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Active!$H$21:$H$940</c:f>
              <c:numCache>
                <c:formatCode>General</c:formatCode>
                <c:ptCount val="920"/>
                <c:pt idx="0">
                  <c:v>7.6100000005681068E-3</c:v>
                </c:pt>
                <c:pt idx="1">
                  <c:v>5.3739999999379506E-2</c:v>
                </c:pt>
                <c:pt idx="2">
                  <c:v>8.045499999934691E-2</c:v>
                </c:pt>
                <c:pt idx="3">
                  <c:v>0</c:v>
                </c:pt>
                <c:pt idx="4">
                  <c:v>-1.0299999994458631E-3</c:v>
                </c:pt>
                <c:pt idx="5">
                  <c:v>9.0999999883933924E-4</c:v>
                </c:pt>
                <c:pt idx="6">
                  <c:v>-4.4600000037462451E-3</c:v>
                </c:pt>
                <c:pt idx="7">
                  <c:v>7.3100000008707866E-3</c:v>
                </c:pt>
                <c:pt idx="8">
                  <c:v>-2.8099999981350265E-3</c:v>
                </c:pt>
                <c:pt idx="9">
                  <c:v>1.3500000000931323E-2</c:v>
                </c:pt>
                <c:pt idx="10">
                  <c:v>-2.9719999998633284E-2</c:v>
                </c:pt>
                <c:pt idx="11">
                  <c:v>-6.6469999997934792E-2</c:v>
                </c:pt>
                <c:pt idx="12">
                  <c:v>8.8099999993573874E-3</c:v>
                </c:pt>
                <c:pt idx="13">
                  <c:v>-2.2440000000642613E-2</c:v>
                </c:pt>
                <c:pt idx="14">
                  <c:v>9.5399999991059303E-3</c:v>
                </c:pt>
                <c:pt idx="15">
                  <c:v>-1.2249999999767169E-2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C0-41AD-B0C4-B2D55B30B46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Active!$I$21:$I$940</c:f>
              <c:numCache>
                <c:formatCode>General</c:formatCode>
                <c:ptCount val="920"/>
                <c:pt idx="16">
                  <c:v>-4.9299999998765998E-2</c:v>
                </c:pt>
                <c:pt idx="17">
                  <c:v>-4.7420000002603047E-2</c:v>
                </c:pt>
                <c:pt idx="18">
                  <c:v>-5.0989999996090773E-2</c:v>
                </c:pt>
                <c:pt idx="19">
                  <c:v>-7.3329999999259599E-2</c:v>
                </c:pt>
                <c:pt idx="20">
                  <c:v>-7.1699999993143138E-2</c:v>
                </c:pt>
                <c:pt idx="21">
                  <c:v>-5.4609999999229331E-2</c:v>
                </c:pt>
                <c:pt idx="22">
                  <c:v>-4.026999999769032E-2</c:v>
                </c:pt>
                <c:pt idx="26">
                  <c:v>-9.2360000002372544E-2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C0-41AD-B0C4-B2D55B30B46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Active!$J$21:$J$940</c:f>
              <c:numCache>
                <c:formatCode>General</c:formatCode>
                <c:ptCount val="920"/>
                <c:pt idx="23">
                  <c:v>-7.4839999993855599E-2</c:v>
                </c:pt>
                <c:pt idx="24">
                  <c:v>-7.3639999995066319E-2</c:v>
                </c:pt>
                <c:pt idx="25">
                  <c:v>-7.2539999993750826E-2</c:v>
                </c:pt>
                <c:pt idx="32">
                  <c:v>-7.745499999873573E-2</c:v>
                </c:pt>
                <c:pt idx="33">
                  <c:v>-7.7980000001844019E-2</c:v>
                </c:pt>
                <c:pt idx="35">
                  <c:v>-7.4025000001711305E-2</c:v>
                </c:pt>
                <c:pt idx="40">
                  <c:v>-7.0219999994151294E-2</c:v>
                </c:pt>
                <c:pt idx="41">
                  <c:v>-6.7974999998114072E-2</c:v>
                </c:pt>
                <c:pt idx="51">
                  <c:v>-7.6670000002195593E-2</c:v>
                </c:pt>
                <c:pt idx="57">
                  <c:v>-9.2720000000554137E-2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C0-41AD-B0C4-B2D55B30B46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Active!$K$21:$K$940</c:f>
              <c:numCache>
                <c:formatCode>General</c:formatCode>
                <c:ptCount val="920"/>
                <c:pt idx="27">
                  <c:v>-8.647499999642605E-2</c:v>
                </c:pt>
                <c:pt idx="28">
                  <c:v>-8.4004999996977858E-2</c:v>
                </c:pt>
                <c:pt idx="29">
                  <c:v>-8.5134999993897509E-2</c:v>
                </c:pt>
                <c:pt idx="30">
                  <c:v>-7.9579999997804407E-2</c:v>
                </c:pt>
                <c:pt idx="31">
                  <c:v>-8.2594999999855645E-2</c:v>
                </c:pt>
                <c:pt idx="34">
                  <c:v>-7.8030000004218891E-2</c:v>
                </c:pt>
                <c:pt idx="36">
                  <c:v>-7.2415000002365559E-2</c:v>
                </c:pt>
                <c:pt idx="37">
                  <c:v>-6.8225000002712477E-2</c:v>
                </c:pt>
                <c:pt idx="38">
                  <c:v>-6.7885000004025642E-2</c:v>
                </c:pt>
                <c:pt idx="39">
                  <c:v>-6.8304999993415549E-2</c:v>
                </c:pt>
                <c:pt idx="42">
                  <c:v>-6.8919999997888226E-2</c:v>
                </c:pt>
                <c:pt idx="43">
                  <c:v>-6.6214999998919666E-2</c:v>
                </c:pt>
                <c:pt idx="44">
                  <c:v>-6.4674999994167592E-2</c:v>
                </c:pt>
                <c:pt idx="45">
                  <c:v>-6.9609999998647254E-2</c:v>
                </c:pt>
                <c:pt idx="46">
                  <c:v>-6.7235000002256129E-2</c:v>
                </c:pt>
                <c:pt idx="47">
                  <c:v>-7.0070000001578592E-2</c:v>
                </c:pt>
                <c:pt idx="48">
                  <c:v>-7.8874999991967343E-2</c:v>
                </c:pt>
                <c:pt idx="49">
                  <c:v>-7.5874999994994141E-2</c:v>
                </c:pt>
                <c:pt idx="50">
                  <c:v>-7.8919999999925494E-2</c:v>
                </c:pt>
                <c:pt idx="52">
                  <c:v>-7.5714999999036081E-2</c:v>
                </c:pt>
                <c:pt idx="53">
                  <c:v>-8.3679999996093102E-2</c:v>
                </c:pt>
                <c:pt idx="55">
                  <c:v>-8.120000000053551E-2</c:v>
                </c:pt>
                <c:pt idx="56">
                  <c:v>-9.1209999998682179E-2</c:v>
                </c:pt>
                <c:pt idx="58">
                  <c:v>-9.6489999996265396E-2</c:v>
                </c:pt>
                <c:pt idx="59">
                  <c:v>-0.10156999999890104</c:v>
                </c:pt>
                <c:pt idx="60">
                  <c:v>-0.10824500000308035</c:v>
                </c:pt>
                <c:pt idx="61">
                  <c:v>-0.1063300000023446</c:v>
                </c:pt>
                <c:pt idx="62">
                  <c:v>-0.10623000000487082</c:v>
                </c:pt>
                <c:pt idx="63">
                  <c:v>-0.11728500000026543</c:v>
                </c:pt>
                <c:pt idx="64">
                  <c:v>-0.1102549999995972</c:v>
                </c:pt>
                <c:pt idx="65">
                  <c:v>-0.10848499999701744</c:v>
                </c:pt>
                <c:pt idx="66">
                  <c:v>-0.11907999999675667</c:v>
                </c:pt>
                <c:pt idx="67">
                  <c:v>-0.12023500000213971</c:v>
                </c:pt>
                <c:pt idx="68">
                  <c:v>-0.11827500000072177</c:v>
                </c:pt>
                <c:pt idx="69">
                  <c:v>-0.11721500000567175</c:v>
                </c:pt>
                <c:pt idx="70">
                  <c:v>-0.11559500000294065</c:v>
                </c:pt>
                <c:pt idx="71">
                  <c:v>-0.12982500000362052</c:v>
                </c:pt>
                <c:pt idx="72">
                  <c:v>-0.12779999995836988</c:v>
                </c:pt>
                <c:pt idx="73">
                  <c:v>-0.12740999978268519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C0-41AD-B0C4-B2D55B30B46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Active!$L$21:$L$940</c:f>
              <c:numCache>
                <c:formatCode>General</c:formatCode>
                <c:ptCount val="9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C0-41AD-B0C4-B2D55B30B4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Active!$M$21:$M$940</c:f>
              <c:numCache>
                <c:formatCode>General</c:formatCode>
                <c:ptCount val="920"/>
                <c:pt idx="54">
                  <c:v>-8.4169999994628597E-2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C0-41AD-B0C4-B2D55B30B4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Active!$N$21:$N$940</c:f>
              <c:numCache>
                <c:formatCode>General</c:formatCode>
                <c:ptCount val="9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C0-41AD-B0C4-B2D55B30B4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Active!$O$21:$O$940</c:f>
              <c:numCache>
                <c:formatCode>General</c:formatCode>
                <c:ptCount val="920"/>
                <c:pt idx="30">
                  <c:v>-5.6216928810053857E-2</c:v>
                </c:pt>
                <c:pt idx="34">
                  <c:v>-6.1627796898865439E-2</c:v>
                </c:pt>
                <c:pt idx="43">
                  <c:v>-7.2309251311223122E-2</c:v>
                </c:pt>
                <c:pt idx="44">
                  <c:v>-7.2469573328669379E-2</c:v>
                </c:pt>
                <c:pt idx="45">
                  <c:v>-7.252969408521176E-2</c:v>
                </c:pt>
                <c:pt idx="46">
                  <c:v>-7.2629895346115636E-2</c:v>
                </c:pt>
                <c:pt idx="47">
                  <c:v>-7.2690016102658017E-2</c:v>
                </c:pt>
                <c:pt idx="48">
                  <c:v>-7.6878428808441757E-2</c:v>
                </c:pt>
                <c:pt idx="49">
                  <c:v>-7.6878428808441757E-2</c:v>
                </c:pt>
                <c:pt idx="50">
                  <c:v>-7.7299274104238258E-2</c:v>
                </c:pt>
                <c:pt idx="51">
                  <c:v>-7.7499676626046066E-2</c:v>
                </c:pt>
                <c:pt idx="52">
                  <c:v>-7.7519716878226841E-2</c:v>
                </c:pt>
                <c:pt idx="53">
                  <c:v>-8.1868451601456893E-2</c:v>
                </c:pt>
                <c:pt idx="54">
                  <c:v>-8.1908532105818499E-2</c:v>
                </c:pt>
                <c:pt idx="55">
                  <c:v>-8.2189095636349463E-2</c:v>
                </c:pt>
                <c:pt idx="56">
                  <c:v>-8.6958675655375961E-2</c:v>
                </c:pt>
                <c:pt idx="57">
                  <c:v>-8.8521815325477038E-2</c:v>
                </c:pt>
                <c:pt idx="58">
                  <c:v>-9.3050912318334178E-2</c:v>
                </c:pt>
                <c:pt idx="59">
                  <c:v>-9.9143148981292395E-2</c:v>
                </c:pt>
                <c:pt idx="60">
                  <c:v>-0.10345180320016084</c:v>
                </c:pt>
                <c:pt idx="61">
                  <c:v>-0.10527546614861216</c:v>
                </c:pt>
                <c:pt idx="62">
                  <c:v>-0.10527546614861216</c:v>
                </c:pt>
                <c:pt idx="63">
                  <c:v>-0.10894283229769558</c:v>
                </c:pt>
                <c:pt idx="64">
                  <c:v>-0.10894283229769558</c:v>
                </c:pt>
                <c:pt idx="65">
                  <c:v>-0.10894283229769558</c:v>
                </c:pt>
                <c:pt idx="66">
                  <c:v>-0.11433366013432639</c:v>
                </c:pt>
                <c:pt idx="67">
                  <c:v>-0.11487474694320754</c:v>
                </c:pt>
                <c:pt idx="68">
                  <c:v>-0.11487474694320754</c:v>
                </c:pt>
                <c:pt idx="69">
                  <c:v>-0.11487474694320754</c:v>
                </c:pt>
                <c:pt idx="70">
                  <c:v>-0.11487474694320754</c:v>
                </c:pt>
                <c:pt idx="71">
                  <c:v>-0.13559636769813777</c:v>
                </c:pt>
                <c:pt idx="72">
                  <c:v>-0.13661842055935774</c:v>
                </c:pt>
                <c:pt idx="73">
                  <c:v>-0.13661842055935774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C0-41AD-B0C4-B2D55B30B46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Active!$U$21:$U$940</c:f>
              <c:numCache>
                <c:formatCode>General</c:formatCode>
                <c:ptCount val="9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C0-41AD-B0C4-B2D55B30B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786736"/>
        <c:axId val="1"/>
      </c:scatterChart>
      <c:valAx>
        <c:axId val="892786736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96673945168614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78151260504202E-2"/>
              <c:y val="0.44025289291668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7867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64723527206157"/>
          <c:y val="0.9088076726258274"/>
          <c:w val="0.8084040671386664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CF Tau - O-C Diagr.</a:t>
            </a:r>
          </a:p>
        </c:rich>
      </c:tx>
      <c:layout>
        <c:manualLayout>
          <c:xMode val="edge"/>
          <c:yMode val="edge"/>
          <c:x val="0.37248322147651008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8814317673377"/>
          <c:y val="0.16196480142176586"/>
          <c:w val="0.79809843400447422"/>
          <c:h val="0.6405440229062275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Active!$H$21:$H$940</c:f>
              <c:numCache>
                <c:formatCode>General</c:formatCode>
                <c:ptCount val="920"/>
                <c:pt idx="0">
                  <c:v>7.6100000005681068E-3</c:v>
                </c:pt>
                <c:pt idx="1">
                  <c:v>5.3739999999379506E-2</c:v>
                </c:pt>
                <c:pt idx="2">
                  <c:v>8.045499999934691E-2</c:v>
                </c:pt>
                <c:pt idx="3">
                  <c:v>0</c:v>
                </c:pt>
                <c:pt idx="4">
                  <c:v>-1.0299999994458631E-3</c:v>
                </c:pt>
                <c:pt idx="5">
                  <c:v>9.0999999883933924E-4</c:v>
                </c:pt>
                <c:pt idx="6">
                  <c:v>-4.4600000037462451E-3</c:v>
                </c:pt>
                <c:pt idx="7">
                  <c:v>7.3100000008707866E-3</c:v>
                </c:pt>
                <c:pt idx="8">
                  <c:v>-2.8099999981350265E-3</c:v>
                </c:pt>
                <c:pt idx="9">
                  <c:v>1.3500000000931323E-2</c:v>
                </c:pt>
                <c:pt idx="10">
                  <c:v>-2.9719999998633284E-2</c:v>
                </c:pt>
                <c:pt idx="11">
                  <c:v>-6.6469999997934792E-2</c:v>
                </c:pt>
                <c:pt idx="12">
                  <c:v>8.8099999993573874E-3</c:v>
                </c:pt>
                <c:pt idx="13">
                  <c:v>-2.2440000000642613E-2</c:v>
                </c:pt>
                <c:pt idx="14">
                  <c:v>9.5399999991059303E-3</c:v>
                </c:pt>
                <c:pt idx="15">
                  <c:v>-1.2249999999767169E-2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77-4A1F-B5C1-29C72385450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Active!$I$21:$I$940</c:f>
              <c:numCache>
                <c:formatCode>General</c:formatCode>
                <c:ptCount val="920"/>
                <c:pt idx="16">
                  <c:v>-4.9299999998765998E-2</c:v>
                </c:pt>
                <c:pt idx="17">
                  <c:v>-4.7420000002603047E-2</c:v>
                </c:pt>
                <c:pt idx="18">
                  <c:v>-5.0989999996090773E-2</c:v>
                </c:pt>
                <c:pt idx="19">
                  <c:v>-7.3329999999259599E-2</c:v>
                </c:pt>
                <c:pt idx="20">
                  <c:v>-7.1699999993143138E-2</c:v>
                </c:pt>
                <c:pt idx="21">
                  <c:v>-5.4609999999229331E-2</c:v>
                </c:pt>
                <c:pt idx="22">
                  <c:v>-4.026999999769032E-2</c:v>
                </c:pt>
                <c:pt idx="26">
                  <c:v>-9.2360000002372544E-2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77-4A1F-B5C1-29C72385450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Active!$J$21:$J$940</c:f>
              <c:numCache>
                <c:formatCode>General</c:formatCode>
                <c:ptCount val="920"/>
                <c:pt idx="23">
                  <c:v>-7.4839999993855599E-2</c:v>
                </c:pt>
                <c:pt idx="24">
                  <c:v>-7.3639999995066319E-2</c:v>
                </c:pt>
                <c:pt idx="25">
                  <c:v>-7.2539999993750826E-2</c:v>
                </c:pt>
                <c:pt idx="32">
                  <c:v>-7.745499999873573E-2</c:v>
                </c:pt>
                <c:pt idx="33">
                  <c:v>-7.7980000001844019E-2</c:v>
                </c:pt>
                <c:pt idx="35">
                  <c:v>-7.4025000001711305E-2</c:v>
                </c:pt>
                <c:pt idx="40">
                  <c:v>-7.0219999994151294E-2</c:v>
                </c:pt>
                <c:pt idx="41">
                  <c:v>-6.7974999998114072E-2</c:v>
                </c:pt>
                <c:pt idx="51">
                  <c:v>-7.6670000002195593E-2</c:v>
                </c:pt>
                <c:pt idx="57">
                  <c:v>-9.2720000000554137E-2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77-4A1F-B5C1-29C72385450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Active!$K$21:$K$940</c:f>
              <c:numCache>
                <c:formatCode>General</c:formatCode>
                <c:ptCount val="920"/>
                <c:pt idx="27">
                  <c:v>-8.647499999642605E-2</c:v>
                </c:pt>
                <c:pt idx="28">
                  <c:v>-8.4004999996977858E-2</c:v>
                </c:pt>
                <c:pt idx="29">
                  <c:v>-8.5134999993897509E-2</c:v>
                </c:pt>
                <c:pt idx="30">
                  <c:v>-7.9579999997804407E-2</c:v>
                </c:pt>
                <c:pt idx="31">
                  <c:v>-8.2594999999855645E-2</c:v>
                </c:pt>
                <c:pt idx="34">
                  <c:v>-7.8030000004218891E-2</c:v>
                </c:pt>
                <c:pt idx="36">
                  <c:v>-7.2415000002365559E-2</c:v>
                </c:pt>
                <c:pt idx="37">
                  <c:v>-6.8225000002712477E-2</c:v>
                </c:pt>
                <c:pt idx="38">
                  <c:v>-6.7885000004025642E-2</c:v>
                </c:pt>
                <c:pt idx="39">
                  <c:v>-6.8304999993415549E-2</c:v>
                </c:pt>
                <c:pt idx="42">
                  <c:v>-6.8919999997888226E-2</c:v>
                </c:pt>
                <c:pt idx="43">
                  <c:v>-6.6214999998919666E-2</c:v>
                </c:pt>
                <c:pt idx="44">
                  <c:v>-6.4674999994167592E-2</c:v>
                </c:pt>
                <c:pt idx="45">
                  <c:v>-6.9609999998647254E-2</c:v>
                </c:pt>
                <c:pt idx="46">
                  <c:v>-6.7235000002256129E-2</c:v>
                </c:pt>
                <c:pt idx="47">
                  <c:v>-7.0070000001578592E-2</c:v>
                </c:pt>
                <c:pt idx="48">
                  <c:v>-7.8874999991967343E-2</c:v>
                </c:pt>
                <c:pt idx="49">
                  <c:v>-7.5874999994994141E-2</c:v>
                </c:pt>
                <c:pt idx="50">
                  <c:v>-7.8919999999925494E-2</c:v>
                </c:pt>
                <c:pt idx="52">
                  <c:v>-7.5714999999036081E-2</c:v>
                </c:pt>
                <c:pt idx="53">
                  <c:v>-8.3679999996093102E-2</c:v>
                </c:pt>
                <c:pt idx="55">
                  <c:v>-8.120000000053551E-2</c:v>
                </c:pt>
                <c:pt idx="56">
                  <c:v>-9.1209999998682179E-2</c:v>
                </c:pt>
                <c:pt idx="58">
                  <c:v>-9.6489999996265396E-2</c:v>
                </c:pt>
                <c:pt idx="59">
                  <c:v>-0.10156999999890104</c:v>
                </c:pt>
                <c:pt idx="60">
                  <c:v>-0.10824500000308035</c:v>
                </c:pt>
                <c:pt idx="61">
                  <c:v>-0.1063300000023446</c:v>
                </c:pt>
                <c:pt idx="62">
                  <c:v>-0.10623000000487082</c:v>
                </c:pt>
                <c:pt idx="63">
                  <c:v>-0.11728500000026543</c:v>
                </c:pt>
                <c:pt idx="64">
                  <c:v>-0.1102549999995972</c:v>
                </c:pt>
                <c:pt idx="65">
                  <c:v>-0.10848499999701744</c:v>
                </c:pt>
                <c:pt idx="66">
                  <c:v>-0.11907999999675667</c:v>
                </c:pt>
                <c:pt idx="67">
                  <c:v>-0.12023500000213971</c:v>
                </c:pt>
                <c:pt idx="68">
                  <c:v>-0.11827500000072177</c:v>
                </c:pt>
                <c:pt idx="69">
                  <c:v>-0.11721500000567175</c:v>
                </c:pt>
                <c:pt idx="70">
                  <c:v>-0.11559500000294065</c:v>
                </c:pt>
                <c:pt idx="71">
                  <c:v>-0.12982500000362052</c:v>
                </c:pt>
                <c:pt idx="72">
                  <c:v>-0.12779999995836988</c:v>
                </c:pt>
                <c:pt idx="73">
                  <c:v>-0.12740999978268519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77-4A1F-B5C1-29C72385450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Active!$L$21:$L$940</c:f>
              <c:numCache>
                <c:formatCode>General</c:formatCode>
                <c:ptCount val="9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77-4A1F-B5C1-29C7238545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Active!$M$21:$M$940</c:f>
              <c:numCache>
                <c:formatCode>General</c:formatCode>
                <c:ptCount val="920"/>
                <c:pt idx="54">
                  <c:v>-8.4169999994628597E-2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77-4A1F-B5C1-29C7238545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Active!$N$21:$N$940</c:f>
              <c:numCache>
                <c:formatCode>General</c:formatCode>
                <c:ptCount val="9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77-4A1F-B5C1-29C7238545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Active!$O$21:$O$940</c:f>
              <c:numCache>
                <c:formatCode>General</c:formatCode>
                <c:ptCount val="920"/>
                <c:pt idx="30">
                  <c:v>-5.6216928810053857E-2</c:v>
                </c:pt>
                <c:pt idx="34">
                  <c:v>-6.1627796898865439E-2</c:v>
                </c:pt>
                <c:pt idx="43">
                  <c:v>-7.2309251311223122E-2</c:v>
                </c:pt>
                <c:pt idx="44">
                  <c:v>-7.2469573328669379E-2</c:v>
                </c:pt>
                <c:pt idx="45">
                  <c:v>-7.252969408521176E-2</c:v>
                </c:pt>
                <c:pt idx="46">
                  <c:v>-7.2629895346115636E-2</c:v>
                </c:pt>
                <c:pt idx="47">
                  <c:v>-7.2690016102658017E-2</c:v>
                </c:pt>
                <c:pt idx="48">
                  <c:v>-7.6878428808441757E-2</c:v>
                </c:pt>
                <c:pt idx="49">
                  <c:v>-7.6878428808441757E-2</c:v>
                </c:pt>
                <c:pt idx="50">
                  <c:v>-7.7299274104238258E-2</c:v>
                </c:pt>
                <c:pt idx="51">
                  <c:v>-7.7499676626046066E-2</c:v>
                </c:pt>
                <c:pt idx="52">
                  <c:v>-7.7519716878226841E-2</c:v>
                </c:pt>
                <c:pt idx="53">
                  <c:v>-8.1868451601456893E-2</c:v>
                </c:pt>
                <c:pt idx="54">
                  <c:v>-8.1908532105818499E-2</c:v>
                </c:pt>
                <c:pt idx="55">
                  <c:v>-8.2189095636349463E-2</c:v>
                </c:pt>
                <c:pt idx="56">
                  <c:v>-8.6958675655375961E-2</c:v>
                </c:pt>
                <c:pt idx="57">
                  <c:v>-8.8521815325477038E-2</c:v>
                </c:pt>
                <c:pt idx="58">
                  <c:v>-9.3050912318334178E-2</c:v>
                </c:pt>
                <c:pt idx="59">
                  <c:v>-9.9143148981292395E-2</c:v>
                </c:pt>
                <c:pt idx="60">
                  <c:v>-0.10345180320016084</c:v>
                </c:pt>
                <c:pt idx="61">
                  <c:v>-0.10527546614861216</c:v>
                </c:pt>
                <c:pt idx="62">
                  <c:v>-0.10527546614861216</c:v>
                </c:pt>
                <c:pt idx="63">
                  <c:v>-0.10894283229769558</c:v>
                </c:pt>
                <c:pt idx="64">
                  <c:v>-0.10894283229769558</c:v>
                </c:pt>
                <c:pt idx="65">
                  <c:v>-0.10894283229769558</c:v>
                </c:pt>
                <c:pt idx="66">
                  <c:v>-0.11433366013432639</c:v>
                </c:pt>
                <c:pt idx="67">
                  <c:v>-0.11487474694320754</c:v>
                </c:pt>
                <c:pt idx="68">
                  <c:v>-0.11487474694320754</c:v>
                </c:pt>
                <c:pt idx="69">
                  <c:v>-0.11487474694320754</c:v>
                </c:pt>
                <c:pt idx="70">
                  <c:v>-0.11487474694320754</c:v>
                </c:pt>
                <c:pt idx="71">
                  <c:v>-0.13559636769813777</c:v>
                </c:pt>
                <c:pt idx="72">
                  <c:v>-0.13661842055935774</c:v>
                </c:pt>
                <c:pt idx="73">
                  <c:v>-0.13661842055935774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77-4A1F-B5C1-29C72385450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Active!$F$21:$F$940</c:f>
              <c:numCache>
                <c:formatCode>General</c:formatCode>
                <c:ptCount val="920"/>
                <c:pt idx="0">
                  <c:v>-1549</c:v>
                </c:pt>
                <c:pt idx="1">
                  <c:v>-1066</c:v>
                </c:pt>
                <c:pt idx="2">
                  <c:v>-1059.5</c:v>
                </c:pt>
                <c:pt idx="3">
                  <c:v>0</c:v>
                </c:pt>
                <c:pt idx="4">
                  <c:v>127</c:v>
                </c:pt>
                <c:pt idx="5">
                  <c:v>181</c:v>
                </c:pt>
                <c:pt idx="6">
                  <c:v>814</c:v>
                </c:pt>
                <c:pt idx="7">
                  <c:v>921</c:v>
                </c:pt>
                <c:pt idx="8">
                  <c:v>929</c:v>
                </c:pt>
                <c:pt idx="9">
                  <c:v>950</c:v>
                </c:pt>
                <c:pt idx="10">
                  <c:v>1048</c:v>
                </c:pt>
                <c:pt idx="11">
                  <c:v>1723</c:v>
                </c:pt>
                <c:pt idx="12">
                  <c:v>1871</c:v>
                </c:pt>
                <c:pt idx="13">
                  <c:v>1896</c:v>
                </c:pt>
                <c:pt idx="14">
                  <c:v>2514</c:v>
                </c:pt>
                <c:pt idx="15">
                  <c:v>5325</c:v>
                </c:pt>
                <c:pt idx="16">
                  <c:v>5570</c:v>
                </c:pt>
                <c:pt idx="17">
                  <c:v>5578</c:v>
                </c:pt>
                <c:pt idx="18">
                  <c:v>5591</c:v>
                </c:pt>
                <c:pt idx="19">
                  <c:v>5697</c:v>
                </c:pt>
                <c:pt idx="20">
                  <c:v>5730</c:v>
                </c:pt>
                <c:pt idx="21">
                  <c:v>5849</c:v>
                </c:pt>
                <c:pt idx="22">
                  <c:v>6243</c:v>
                </c:pt>
                <c:pt idx="23">
                  <c:v>6246</c:v>
                </c:pt>
                <c:pt idx="24">
                  <c:v>6246</c:v>
                </c:pt>
                <c:pt idx="25">
                  <c:v>6246</c:v>
                </c:pt>
                <c:pt idx="26">
                  <c:v>7024</c:v>
                </c:pt>
                <c:pt idx="27">
                  <c:v>7717.5</c:v>
                </c:pt>
                <c:pt idx="28">
                  <c:v>7734.5</c:v>
                </c:pt>
                <c:pt idx="29">
                  <c:v>7811.5</c:v>
                </c:pt>
                <c:pt idx="30">
                  <c:v>7972</c:v>
                </c:pt>
                <c:pt idx="31">
                  <c:v>8085.5</c:v>
                </c:pt>
                <c:pt idx="32">
                  <c:v>8099.5</c:v>
                </c:pt>
                <c:pt idx="33">
                  <c:v>8102</c:v>
                </c:pt>
                <c:pt idx="34">
                  <c:v>8107</c:v>
                </c:pt>
                <c:pt idx="35">
                  <c:v>8222.5</c:v>
                </c:pt>
                <c:pt idx="36">
                  <c:v>8233.5</c:v>
                </c:pt>
                <c:pt idx="37">
                  <c:v>8242.5</c:v>
                </c:pt>
                <c:pt idx="38">
                  <c:v>8246.5</c:v>
                </c:pt>
                <c:pt idx="39">
                  <c:v>8254.5</c:v>
                </c:pt>
                <c:pt idx="40">
                  <c:v>8258</c:v>
                </c:pt>
                <c:pt idx="41">
                  <c:v>8357.5</c:v>
                </c:pt>
                <c:pt idx="42">
                  <c:v>8358</c:v>
                </c:pt>
                <c:pt idx="43">
                  <c:v>8373.5</c:v>
                </c:pt>
                <c:pt idx="44">
                  <c:v>8377.5</c:v>
                </c:pt>
                <c:pt idx="45">
                  <c:v>8379</c:v>
                </c:pt>
                <c:pt idx="46">
                  <c:v>8381.5</c:v>
                </c:pt>
                <c:pt idx="47">
                  <c:v>8383</c:v>
                </c:pt>
                <c:pt idx="48">
                  <c:v>8487.5</c:v>
                </c:pt>
                <c:pt idx="49">
                  <c:v>8487.5</c:v>
                </c:pt>
                <c:pt idx="50">
                  <c:v>8498</c:v>
                </c:pt>
                <c:pt idx="51">
                  <c:v>8503</c:v>
                </c:pt>
                <c:pt idx="52">
                  <c:v>8503.5</c:v>
                </c:pt>
                <c:pt idx="53">
                  <c:v>8612</c:v>
                </c:pt>
                <c:pt idx="54">
                  <c:v>8613</c:v>
                </c:pt>
                <c:pt idx="55">
                  <c:v>8620</c:v>
                </c:pt>
                <c:pt idx="56">
                  <c:v>8739</c:v>
                </c:pt>
                <c:pt idx="57">
                  <c:v>8778</c:v>
                </c:pt>
                <c:pt idx="58">
                  <c:v>8891</c:v>
                </c:pt>
                <c:pt idx="59">
                  <c:v>9043</c:v>
                </c:pt>
                <c:pt idx="60">
                  <c:v>9150.5</c:v>
                </c:pt>
                <c:pt idx="61">
                  <c:v>9196</c:v>
                </c:pt>
                <c:pt idx="62">
                  <c:v>9196</c:v>
                </c:pt>
                <c:pt idx="63">
                  <c:v>9287.5</c:v>
                </c:pt>
                <c:pt idx="64">
                  <c:v>9287.5</c:v>
                </c:pt>
                <c:pt idx="65">
                  <c:v>9287.5</c:v>
                </c:pt>
                <c:pt idx="66">
                  <c:v>9422</c:v>
                </c:pt>
                <c:pt idx="67">
                  <c:v>9435.5</c:v>
                </c:pt>
                <c:pt idx="68">
                  <c:v>9435.5</c:v>
                </c:pt>
                <c:pt idx="69">
                  <c:v>9435.5</c:v>
                </c:pt>
                <c:pt idx="70">
                  <c:v>9435.5</c:v>
                </c:pt>
                <c:pt idx="71">
                  <c:v>9952.5</c:v>
                </c:pt>
                <c:pt idx="72">
                  <c:v>9978</c:v>
                </c:pt>
                <c:pt idx="73">
                  <c:v>9978</c:v>
                </c:pt>
              </c:numCache>
            </c:numRef>
          </c:xVal>
          <c:yVal>
            <c:numRef>
              <c:f>Active!$U$21:$U$940</c:f>
              <c:numCache>
                <c:formatCode>General</c:formatCode>
                <c:ptCount val="9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77-4A1F-B5C1-29C723854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290736"/>
        <c:axId val="1"/>
      </c:scatterChart>
      <c:valAx>
        <c:axId val="879290736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77852348993292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691275167785234E-2"/>
              <c:y val="0.438872131579163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2907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12751677852348"/>
          <c:y val="0.90909222554077285"/>
          <c:w val="0.80704697986577179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476250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02E0BCF-F0EF-51E3-6CFF-A50FBBA13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542925</xdr:colOff>
      <xdr:row>0</xdr:row>
      <xdr:rowOff>0</xdr:rowOff>
    </xdr:from>
    <xdr:to>
      <xdr:col>27</xdr:col>
      <xdr:colOff>76200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7B944816-A85D-D3D0-B969-DC4A36916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49" TargetMode="External"/><Relationship Id="rId13" Type="http://schemas.openxmlformats.org/officeDocument/2006/relationships/hyperlink" Target="http://www.konkoly.hu/cgi-bin/IBVS?5670" TargetMode="External"/><Relationship Id="rId18" Type="http://schemas.openxmlformats.org/officeDocument/2006/relationships/hyperlink" Target="http://www.konkoly.hu/cgi-bin/IBVS?5764" TargetMode="External"/><Relationship Id="rId26" Type="http://schemas.openxmlformats.org/officeDocument/2006/relationships/hyperlink" Target="http://www.konkoly.hu/cgi-bin/IBVS?5910" TargetMode="External"/><Relationship Id="rId39" Type="http://schemas.openxmlformats.org/officeDocument/2006/relationships/hyperlink" Target="http://vsolj.cetus-net.org/no40.pdf" TargetMode="External"/><Relationship Id="rId3" Type="http://schemas.openxmlformats.org/officeDocument/2006/relationships/hyperlink" Target="http://www.bav-astro.de/sfs/BAVM_link.php?BAVMnr=46" TargetMode="External"/><Relationship Id="rId21" Type="http://schemas.openxmlformats.org/officeDocument/2006/relationships/hyperlink" Target="http://www.konkoly.hu/cgi-bin/IBVS?5764" TargetMode="External"/><Relationship Id="rId34" Type="http://schemas.openxmlformats.org/officeDocument/2006/relationships/hyperlink" Target="http://var.astro.cz/oejv/issues/oejv0160.pdf" TargetMode="External"/><Relationship Id="rId42" Type="http://schemas.openxmlformats.org/officeDocument/2006/relationships/hyperlink" Target="http://www.konkoly.hu/cgi-bin/IBVS?5972" TargetMode="External"/><Relationship Id="rId7" Type="http://schemas.openxmlformats.org/officeDocument/2006/relationships/hyperlink" Target="http://www.konkoly.hu/cgi-bin/IBVS?5649" TargetMode="External"/><Relationship Id="rId12" Type="http://schemas.openxmlformats.org/officeDocument/2006/relationships/hyperlink" Target="http://www.konkoly.hu/cgi-bin/IBVS?5670" TargetMode="External"/><Relationship Id="rId17" Type="http://schemas.openxmlformats.org/officeDocument/2006/relationships/hyperlink" Target="http://www.konkoly.hu/cgi-bin/IBVS?5670" TargetMode="External"/><Relationship Id="rId25" Type="http://schemas.openxmlformats.org/officeDocument/2006/relationships/hyperlink" Target="http://www.konkoly.hu/cgi-bin/IBVS?5764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www.bav-astro.de/sfs/BAVM_link.php?BAVMnr=56" TargetMode="External"/><Relationship Id="rId2" Type="http://schemas.openxmlformats.org/officeDocument/2006/relationships/hyperlink" Target="http://www.bav-astro.de/sfs/BAVM_link.php?BAVMnr=39" TargetMode="External"/><Relationship Id="rId16" Type="http://schemas.openxmlformats.org/officeDocument/2006/relationships/hyperlink" Target="http://www.konkoly.hu/cgi-bin/IBVS?5670" TargetMode="External"/><Relationship Id="rId20" Type="http://schemas.openxmlformats.org/officeDocument/2006/relationships/hyperlink" Target="http://www.konkoly.hu/cgi-bin/IBVS?5764" TargetMode="External"/><Relationship Id="rId29" Type="http://schemas.openxmlformats.org/officeDocument/2006/relationships/hyperlink" Target="http://www.bav-astro.de/sfs/BAVM_link.php?BAVMnr=209" TargetMode="External"/><Relationship Id="rId41" Type="http://schemas.openxmlformats.org/officeDocument/2006/relationships/hyperlink" Target="http://www.bav-astro.de/sfs/BAVM_link.php?BAVMnr=193" TargetMode="External"/><Relationship Id="rId1" Type="http://schemas.openxmlformats.org/officeDocument/2006/relationships/hyperlink" Target="http://www.bav-astro.de/sfs/BAVM_link.php?BAVMnr=39" TargetMode="External"/><Relationship Id="rId6" Type="http://schemas.openxmlformats.org/officeDocument/2006/relationships/hyperlink" Target="http://www.konkoly.hu/cgi-bin/IBVS?5251" TargetMode="External"/><Relationship Id="rId11" Type="http://schemas.openxmlformats.org/officeDocument/2006/relationships/hyperlink" Target="http://www.konkoly.hu/cgi-bin/IBVS?5670" TargetMode="External"/><Relationship Id="rId24" Type="http://schemas.openxmlformats.org/officeDocument/2006/relationships/hyperlink" Target="http://www.bav-astro.de/sfs/BAVM_link.php?BAVMnr=183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www.bav-astro.de/sfs/BAVM_link.php?BAVMnr=234" TargetMode="External"/><Relationship Id="rId40" Type="http://schemas.openxmlformats.org/officeDocument/2006/relationships/hyperlink" Target="http://vsolj.cetus-net.org/no42.pdf" TargetMode="External"/><Relationship Id="rId5" Type="http://schemas.openxmlformats.org/officeDocument/2006/relationships/hyperlink" Target="http://www.konkoly.hu/cgi-bin/IBVS?5067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konkoly.hu/cgi-bin/IBVS?5764" TargetMode="External"/><Relationship Id="rId28" Type="http://schemas.openxmlformats.org/officeDocument/2006/relationships/hyperlink" Target="http://www.konkoly.hu/cgi-bin/IBVS?5910" TargetMode="External"/><Relationship Id="rId36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670" TargetMode="External"/><Relationship Id="rId19" Type="http://schemas.openxmlformats.org/officeDocument/2006/relationships/hyperlink" Target="http://www.konkoly.hu/cgi-bin/IBVS?5764" TargetMode="External"/><Relationship Id="rId31" Type="http://schemas.openxmlformats.org/officeDocument/2006/relationships/hyperlink" Target="http://www.konkoly.hu/cgi-bin/IBVS?6011" TargetMode="External"/><Relationship Id="rId4" Type="http://schemas.openxmlformats.org/officeDocument/2006/relationships/hyperlink" Target="http://www.konkoly.hu/cgi-bin/IBVS?5067" TargetMode="External"/><Relationship Id="rId9" Type="http://schemas.openxmlformats.org/officeDocument/2006/relationships/hyperlink" Target="http://www.konkoly.hu/cgi-bin/IBVS?5649" TargetMode="External"/><Relationship Id="rId14" Type="http://schemas.openxmlformats.org/officeDocument/2006/relationships/hyperlink" Target="http://www.bav-astro.de/sfs/BAVM_link.php?BAVMnr=173" TargetMode="External"/><Relationship Id="rId22" Type="http://schemas.openxmlformats.org/officeDocument/2006/relationships/hyperlink" Target="http://www.konkoly.hu/cgi-bin/IBVS?5764" TargetMode="External"/><Relationship Id="rId27" Type="http://schemas.openxmlformats.org/officeDocument/2006/relationships/hyperlink" Target="http://www.konkoly.hu/cgi-bin/IBVS?5910" TargetMode="External"/><Relationship Id="rId30" Type="http://schemas.openxmlformats.org/officeDocument/2006/relationships/hyperlink" Target="http://www.konkoly.hu/cgi-bin/IBVS?5992" TargetMode="External"/><Relationship Id="rId35" Type="http://schemas.openxmlformats.org/officeDocument/2006/relationships/hyperlink" Target="http://var.astro.cz/oejv/issues/oejv0160.pdf" TargetMode="External"/><Relationship Id="rId43" Type="http://schemas.openxmlformats.org/officeDocument/2006/relationships/hyperlink" Target="http://vsolj.cetus-net.org/vsoljno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4"/>
  <sheetViews>
    <sheetView tabSelected="1" workbookViewId="0">
      <pane xSplit="14" ySplit="22" topLeftCell="O80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3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s="45" customFormat="1" ht="20.25">
      <c r="A1" s="71" t="s">
        <v>0</v>
      </c>
      <c r="B1" s="48"/>
      <c r="D1" s="47"/>
    </row>
    <row r="2" spans="1:6" s="45" customFormat="1" ht="12.75" customHeight="1">
      <c r="A2" s="45" t="s">
        <v>1</v>
      </c>
      <c r="B2" s="46" t="s">
        <v>2</v>
      </c>
      <c r="D2" s="47"/>
    </row>
    <row r="3" spans="1:6" s="45" customFormat="1" ht="12.75" customHeight="1">
      <c r="B3" s="48"/>
      <c r="D3" s="47"/>
    </row>
    <row r="4" spans="1:6" s="45" customFormat="1" ht="12.75" customHeight="1">
      <c r="A4" s="49" t="s">
        <v>3</v>
      </c>
      <c r="B4" s="48"/>
      <c r="C4" s="50">
        <v>30651.23</v>
      </c>
      <c r="D4" s="51">
        <v>2.75589</v>
      </c>
    </row>
    <row r="5" spans="1:6" s="45" customFormat="1" ht="12.75" customHeight="1">
      <c r="A5" s="52" t="s">
        <v>4</v>
      </c>
      <c r="C5" s="53">
        <v>-9.5</v>
      </c>
      <c r="D5" s="45" t="s">
        <v>5</v>
      </c>
    </row>
    <row r="6" spans="1:6" s="45" customFormat="1" ht="12.75" customHeight="1">
      <c r="A6" s="49" t="s">
        <v>6</v>
      </c>
      <c r="B6" s="48"/>
      <c r="D6" s="47"/>
    </row>
    <row r="7" spans="1:6" s="45" customFormat="1" ht="12.75" customHeight="1">
      <c r="A7" s="45" t="s">
        <v>7</v>
      </c>
      <c r="B7" s="48"/>
      <c r="C7" s="45">
        <f>+C4</f>
        <v>30651.23</v>
      </c>
      <c r="D7" s="47"/>
    </row>
    <row r="8" spans="1:6" s="45" customFormat="1" ht="12.75" customHeight="1">
      <c r="A8" s="45" t="s">
        <v>8</v>
      </c>
      <c r="B8" s="48"/>
      <c r="C8" s="45">
        <f>+D4</f>
        <v>2.75589</v>
      </c>
      <c r="D8" s="47"/>
    </row>
    <row r="9" spans="1:6" s="45" customFormat="1" ht="12.75" customHeight="1">
      <c r="A9" s="54" t="s">
        <v>9</v>
      </c>
      <c r="B9" s="55">
        <v>58</v>
      </c>
      <c r="C9" s="56" t="str">
        <f>"F"&amp;B9</f>
        <v>F58</v>
      </c>
      <c r="D9" s="57" t="str">
        <f>"G"&amp;B9</f>
        <v>G58</v>
      </c>
    </row>
    <row r="10" spans="1:6" s="45" customFormat="1" ht="12.75" customHeight="1">
      <c r="C10" s="58" t="s">
        <v>10</v>
      </c>
      <c r="D10" s="58" t="s">
        <v>11</v>
      </c>
    </row>
    <row r="11" spans="1:6" s="45" customFormat="1" ht="12.75" customHeight="1">
      <c r="A11" s="45" t="s">
        <v>12</v>
      </c>
      <c r="C11" s="57">
        <f ca="1">INTERCEPT(INDIRECT($D$9):G992,INDIRECT($C$9):F992)</f>
        <v>0.26330485196036008</v>
      </c>
      <c r="D11" s="48"/>
    </row>
    <row r="12" spans="1:6" s="45" customFormat="1" ht="12.75" customHeight="1">
      <c r="A12" s="45" t="s">
        <v>13</v>
      </c>
      <c r="C12" s="57">
        <f ca="1">SLOPE(INDIRECT($D$9):G992,INDIRECT($C$9):F992)</f>
        <v>-4.0080504361567229E-5</v>
      </c>
      <c r="D12" s="48"/>
    </row>
    <row r="13" spans="1:6" s="45" customFormat="1" ht="12.75" customHeight="1">
      <c r="A13" s="45" t="s">
        <v>14</v>
      </c>
      <c r="C13" s="48" t="s">
        <v>15</v>
      </c>
      <c r="D13" s="47"/>
    </row>
    <row r="14" spans="1:6" s="45" customFormat="1" ht="12.75" customHeight="1">
      <c r="D14" s="47"/>
    </row>
    <row r="15" spans="1:6" s="45" customFormat="1" ht="12.75" customHeight="1">
      <c r="A15" s="49" t="s">
        <v>16</v>
      </c>
      <c r="C15" s="59">
        <f ca="1">(C7+C11)+(C8+C12)*INT(MAX(F21:F3533))</f>
        <v>58149.363801579442</v>
      </c>
      <c r="D15" s="47"/>
      <c r="E15" s="54" t="s">
        <v>17</v>
      </c>
      <c r="F15" s="53">
        <v>1</v>
      </c>
    </row>
    <row r="16" spans="1:6" s="45" customFormat="1" ht="12.75" customHeight="1">
      <c r="A16" s="49" t="s">
        <v>18</v>
      </c>
      <c r="C16" s="59">
        <f ca="1">+C8+C12</f>
        <v>2.7558499194956383</v>
      </c>
      <c r="D16" s="47"/>
      <c r="E16" s="54" t="s">
        <v>19</v>
      </c>
      <c r="F16" s="57">
        <f ca="1">NOW()+15018.5+$C$5/24</f>
        <v>60376.738296412033</v>
      </c>
    </row>
    <row r="17" spans="1:21" s="45" customFormat="1" ht="12.75" customHeight="1">
      <c r="A17" s="54" t="s">
        <v>20</v>
      </c>
      <c r="C17" s="45">
        <f>COUNT(C21:C2191)</f>
        <v>74</v>
      </c>
      <c r="D17" s="47"/>
      <c r="E17" s="54" t="s">
        <v>21</v>
      </c>
      <c r="F17" s="57">
        <f ca="1">ROUND(2*(F16-$C$7)/$C$8,0)/2+F15</f>
        <v>10787</v>
      </c>
    </row>
    <row r="18" spans="1:21" s="45" customFormat="1" ht="12.75" customHeight="1">
      <c r="A18" s="49" t="s">
        <v>22</v>
      </c>
      <c r="C18" s="50">
        <f ca="1">+C15</f>
        <v>58149.363801579442</v>
      </c>
      <c r="D18" s="60">
        <f ca="1">+C16</f>
        <v>2.7558499194956383</v>
      </c>
      <c r="E18" s="54" t="s">
        <v>23</v>
      </c>
      <c r="F18" s="57">
        <f ca="1">ROUND(2*(F16-$C$15)/$C$16,0)/2+F15</f>
        <v>809</v>
      </c>
    </row>
    <row r="19" spans="1:21" s="45" customFormat="1" ht="12.75" customHeight="1">
      <c r="B19" s="48"/>
      <c r="D19" s="47"/>
      <c r="E19" s="54" t="s">
        <v>24</v>
      </c>
      <c r="F19" s="61">
        <f ca="1">+$C$15+$C$16*F18-15018.5-$C$5/24</f>
        <v>45360.742219784748</v>
      </c>
    </row>
    <row r="20" spans="1:21" s="45" customFormat="1" ht="12.75" customHeight="1">
      <c r="A20" s="58" t="s">
        <v>25</v>
      </c>
      <c r="B20" s="58" t="s">
        <v>26</v>
      </c>
      <c r="C20" s="58" t="s">
        <v>27</v>
      </c>
      <c r="D20" s="62" t="s">
        <v>28</v>
      </c>
      <c r="E20" s="58" t="s">
        <v>29</v>
      </c>
      <c r="F20" s="58" t="s">
        <v>30</v>
      </c>
      <c r="G20" s="58" t="s">
        <v>31</v>
      </c>
      <c r="H20" s="63" t="s">
        <v>32</v>
      </c>
      <c r="I20" s="63" t="s">
        <v>33</v>
      </c>
      <c r="J20" s="63" t="s">
        <v>34</v>
      </c>
      <c r="K20" s="63" t="s">
        <v>35</v>
      </c>
      <c r="L20" s="63" t="s">
        <v>36</v>
      </c>
      <c r="M20" s="63" t="s">
        <v>37</v>
      </c>
      <c r="N20" s="63" t="s">
        <v>38</v>
      </c>
      <c r="O20" s="63" t="s">
        <v>39</v>
      </c>
      <c r="P20" s="63" t="s">
        <v>40</v>
      </c>
      <c r="Q20" s="58" t="s">
        <v>41</v>
      </c>
      <c r="U20" s="64" t="s">
        <v>42</v>
      </c>
    </row>
    <row r="21" spans="1:21" s="45" customFormat="1" ht="12.75" customHeight="1">
      <c r="A21" s="65" t="s">
        <v>43</v>
      </c>
      <c r="B21" s="66" t="s">
        <v>44</v>
      </c>
      <c r="C21" s="67">
        <v>26382.364000000001</v>
      </c>
      <c r="D21" s="68"/>
      <c r="E21" s="69">
        <f t="shared" ref="E21:E52" si="0">+(C21-C$7)/C$8</f>
        <v>-1548.9972386415998</v>
      </c>
      <c r="F21" s="45">
        <f t="shared" ref="F21:F52" si="1">ROUND(2*E21,0)/2</f>
        <v>-1549</v>
      </c>
      <c r="G21" s="45">
        <f t="shared" ref="G21:G52" si="2">+C21-(C$7+F21*C$8)</f>
        <v>7.6100000005681068E-3</v>
      </c>
      <c r="H21" s="45">
        <f>G21</f>
        <v>7.6100000005681068E-3</v>
      </c>
      <c r="Q21" s="70">
        <f t="shared" ref="Q21:Q52" si="3">+C21-15018.5</f>
        <v>11363.864000000001</v>
      </c>
    </row>
    <row r="22" spans="1:21" s="45" customFormat="1" ht="12.75" customHeight="1">
      <c r="A22" s="65" t="s">
        <v>45</v>
      </c>
      <c r="B22" s="66" t="s">
        <v>44</v>
      </c>
      <c r="C22" s="67">
        <v>27713.505000000001</v>
      </c>
      <c r="D22" s="68"/>
      <c r="E22" s="69">
        <f t="shared" si="0"/>
        <v>-1065.9804999473849</v>
      </c>
      <c r="F22" s="45">
        <f t="shared" si="1"/>
        <v>-1066</v>
      </c>
      <c r="G22" s="45">
        <f t="shared" si="2"/>
        <v>5.3739999999379506E-2</v>
      </c>
      <c r="H22" s="45">
        <f>G22</f>
        <v>5.3739999999379506E-2</v>
      </c>
      <c r="Q22" s="70">
        <f t="shared" si="3"/>
        <v>12695.005000000001</v>
      </c>
    </row>
    <row r="23" spans="1:21" s="45" customFormat="1" ht="12.75" customHeight="1">
      <c r="A23" s="65" t="s">
        <v>45</v>
      </c>
      <c r="B23" s="66" t="s">
        <v>46</v>
      </c>
      <c r="C23" s="67">
        <v>27731.445</v>
      </c>
      <c r="D23" s="68"/>
      <c r="E23" s="69">
        <f t="shared" si="0"/>
        <v>-1059.4708061642518</v>
      </c>
      <c r="F23" s="45">
        <f t="shared" si="1"/>
        <v>-1059.5</v>
      </c>
      <c r="G23" s="45">
        <f t="shared" si="2"/>
        <v>8.045499999934691E-2</v>
      </c>
      <c r="H23" s="45">
        <f>G23</f>
        <v>8.045499999934691E-2</v>
      </c>
      <c r="Q23" s="70">
        <f t="shared" si="3"/>
        <v>12712.945</v>
      </c>
    </row>
    <row r="24" spans="1:21" s="45" customFormat="1" ht="12.75" customHeight="1">
      <c r="A24" s="45" t="s">
        <v>47</v>
      </c>
      <c r="B24" s="48"/>
      <c r="C24" s="68">
        <v>30651.23</v>
      </c>
      <c r="D24" s="68" t="s">
        <v>15</v>
      </c>
      <c r="E24" s="45">
        <f t="shared" si="0"/>
        <v>0</v>
      </c>
      <c r="F24" s="45">
        <f t="shared" si="1"/>
        <v>0</v>
      </c>
      <c r="G24" s="45">
        <f t="shared" si="2"/>
        <v>0</v>
      </c>
      <c r="H24" s="45">
        <f>+G24</f>
        <v>0</v>
      </c>
      <c r="Q24" s="70">
        <f t="shared" si="3"/>
        <v>15632.73</v>
      </c>
    </row>
    <row r="25" spans="1:21" s="45" customFormat="1" ht="12.75" customHeight="1">
      <c r="A25" s="65" t="s">
        <v>48</v>
      </c>
      <c r="B25" s="66" t="s">
        <v>44</v>
      </c>
      <c r="C25" s="67">
        <v>31001.226999999999</v>
      </c>
      <c r="D25" s="68"/>
      <c r="E25" s="69">
        <f t="shared" si="0"/>
        <v>126.99962625503899</v>
      </c>
      <c r="F25" s="45">
        <f t="shared" si="1"/>
        <v>127</v>
      </c>
      <c r="G25" s="45">
        <f t="shared" si="2"/>
        <v>-1.0299999994458631E-3</v>
      </c>
      <c r="H25" s="45">
        <f t="shared" ref="H25:H36" si="4">G25</f>
        <v>-1.0299999994458631E-3</v>
      </c>
      <c r="Q25" s="70">
        <f t="shared" si="3"/>
        <v>15982.726999999999</v>
      </c>
    </row>
    <row r="26" spans="1:21" s="45" customFormat="1" ht="12.75" customHeight="1">
      <c r="A26" s="65" t="s">
        <v>48</v>
      </c>
      <c r="B26" s="66" t="s">
        <v>44</v>
      </c>
      <c r="C26" s="67">
        <v>31150.046999999999</v>
      </c>
      <c r="D26" s="68"/>
      <c r="E26" s="69">
        <f t="shared" si="0"/>
        <v>181.00033020185825</v>
      </c>
      <c r="F26" s="45">
        <f t="shared" si="1"/>
        <v>181</v>
      </c>
      <c r="G26" s="45">
        <f t="shared" si="2"/>
        <v>9.0999999883933924E-4</v>
      </c>
      <c r="H26" s="45">
        <f t="shared" si="4"/>
        <v>9.0999999883933924E-4</v>
      </c>
      <c r="Q26" s="70">
        <f t="shared" si="3"/>
        <v>16131.546999999999</v>
      </c>
    </row>
    <row r="27" spans="1:21" s="45" customFormat="1" ht="12.75" customHeight="1">
      <c r="A27" s="65" t="s">
        <v>49</v>
      </c>
      <c r="B27" s="66" t="s">
        <v>44</v>
      </c>
      <c r="C27" s="67">
        <v>32894.519999999997</v>
      </c>
      <c r="D27" s="68"/>
      <c r="E27" s="69">
        <f t="shared" si="0"/>
        <v>813.99838164803282</v>
      </c>
      <c r="F27" s="45">
        <f t="shared" si="1"/>
        <v>814</v>
      </c>
      <c r="G27" s="45">
        <f t="shared" si="2"/>
        <v>-4.4600000037462451E-3</v>
      </c>
      <c r="H27" s="45">
        <f t="shared" si="4"/>
        <v>-4.4600000037462451E-3</v>
      </c>
      <c r="Q27" s="70">
        <f t="shared" si="3"/>
        <v>17876.019999999997</v>
      </c>
    </row>
    <row r="28" spans="1:21" s="45" customFormat="1" ht="12.75" customHeight="1">
      <c r="A28" s="65" t="s">
        <v>50</v>
      </c>
      <c r="B28" s="66" t="s">
        <v>44</v>
      </c>
      <c r="C28" s="67">
        <v>33189.411999999997</v>
      </c>
      <c r="D28" s="68"/>
      <c r="E28" s="69">
        <f t="shared" si="0"/>
        <v>921.00265250064308</v>
      </c>
      <c r="F28" s="45">
        <f t="shared" si="1"/>
        <v>921</v>
      </c>
      <c r="G28" s="45">
        <f t="shared" si="2"/>
        <v>7.3100000008707866E-3</v>
      </c>
      <c r="H28" s="45">
        <f t="shared" si="4"/>
        <v>7.3100000008707866E-3</v>
      </c>
      <c r="Q28" s="70">
        <f t="shared" si="3"/>
        <v>18170.911999999997</v>
      </c>
    </row>
    <row r="29" spans="1:21" s="45" customFormat="1" ht="12.75" customHeight="1">
      <c r="A29" s="65" t="s">
        <v>50</v>
      </c>
      <c r="B29" s="66" t="s">
        <v>44</v>
      </c>
      <c r="C29" s="67">
        <v>33211.449000000001</v>
      </c>
      <c r="D29" s="68"/>
      <c r="E29" s="69">
        <f t="shared" si="0"/>
        <v>928.99898036568982</v>
      </c>
      <c r="F29" s="45">
        <f t="shared" si="1"/>
        <v>929</v>
      </c>
      <c r="G29" s="45">
        <f t="shared" si="2"/>
        <v>-2.8099999981350265E-3</v>
      </c>
      <c r="H29" s="45">
        <f t="shared" si="4"/>
        <v>-2.8099999981350265E-3</v>
      </c>
      <c r="Q29" s="70">
        <f t="shared" si="3"/>
        <v>18192.949000000001</v>
      </c>
    </row>
    <row r="30" spans="1:21">
      <c r="A30" s="4" t="s">
        <v>51</v>
      </c>
      <c r="B30" s="5" t="s">
        <v>44</v>
      </c>
      <c r="C30" s="6">
        <v>33269.339</v>
      </c>
      <c r="D30" s="7"/>
      <c r="E30" s="8">
        <f t="shared" si="0"/>
        <v>950.00489859900085</v>
      </c>
      <c r="F30" s="1">
        <f t="shared" si="1"/>
        <v>950</v>
      </c>
      <c r="G30" s="1">
        <f t="shared" si="2"/>
        <v>1.3500000000931323E-2</v>
      </c>
      <c r="H30" s="1">
        <f t="shared" si="4"/>
        <v>1.3500000000931323E-2</v>
      </c>
      <c r="Q30" s="44">
        <f t="shared" si="3"/>
        <v>18250.839</v>
      </c>
    </row>
    <row r="31" spans="1:21">
      <c r="A31" s="4" t="s">
        <v>51</v>
      </c>
      <c r="B31" s="5" t="s">
        <v>44</v>
      </c>
      <c r="C31" s="6">
        <v>33539.373</v>
      </c>
      <c r="D31" s="7"/>
      <c r="E31" s="8">
        <f t="shared" si="0"/>
        <v>1047.9892158250148</v>
      </c>
      <c r="F31" s="1">
        <f t="shared" si="1"/>
        <v>1048</v>
      </c>
      <c r="G31" s="1">
        <f t="shared" si="2"/>
        <v>-2.9719999998633284E-2</v>
      </c>
      <c r="H31" s="1">
        <f t="shared" si="4"/>
        <v>-2.9719999998633284E-2</v>
      </c>
      <c r="Q31" s="44">
        <f t="shared" si="3"/>
        <v>18520.873</v>
      </c>
    </row>
    <row r="32" spans="1:21">
      <c r="A32" s="4" t="s">
        <v>52</v>
      </c>
      <c r="B32" s="5" t="s">
        <v>44</v>
      </c>
      <c r="C32" s="6">
        <v>35399.561999999998</v>
      </c>
      <c r="D32" s="7"/>
      <c r="E32" s="8">
        <f t="shared" si="0"/>
        <v>1722.9758807499568</v>
      </c>
      <c r="F32" s="1">
        <f t="shared" si="1"/>
        <v>1723</v>
      </c>
      <c r="G32" s="1">
        <f t="shared" si="2"/>
        <v>-6.6469999997934792E-2</v>
      </c>
      <c r="H32" s="1">
        <f t="shared" si="4"/>
        <v>-6.6469999997934792E-2</v>
      </c>
      <c r="Q32" s="44">
        <f t="shared" si="3"/>
        <v>20381.061999999998</v>
      </c>
    </row>
    <row r="33" spans="1:33">
      <c r="A33" s="4" t="s">
        <v>53</v>
      </c>
      <c r="B33" s="5" t="s">
        <v>44</v>
      </c>
      <c r="C33" s="6">
        <v>35807.508999999998</v>
      </c>
      <c r="D33" s="7"/>
      <c r="E33" s="8">
        <f t="shared" si="0"/>
        <v>1871.0031967894215</v>
      </c>
      <c r="F33" s="1">
        <f t="shared" si="1"/>
        <v>1871</v>
      </c>
      <c r="G33" s="1">
        <f t="shared" si="2"/>
        <v>8.8099999993573874E-3</v>
      </c>
      <c r="H33" s="1">
        <f t="shared" si="4"/>
        <v>8.8099999993573874E-3</v>
      </c>
      <c r="Q33" s="44">
        <f t="shared" si="3"/>
        <v>20789.008999999998</v>
      </c>
    </row>
    <row r="34" spans="1:33">
      <c r="A34" s="4" t="s">
        <v>54</v>
      </c>
      <c r="B34" s="5" t="s">
        <v>44</v>
      </c>
      <c r="C34" s="6">
        <v>35876.375</v>
      </c>
      <c r="D34" s="7"/>
      <c r="E34" s="8">
        <f t="shared" si="0"/>
        <v>1895.9918574398835</v>
      </c>
      <c r="F34" s="1">
        <f t="shared" si="1"/>
        <v>1896</v>
      </c>
      <c r="G34" s="1">
        <f t="shared" si="2"/>
        <v>-2.2440000000642613E-2</v>
      </c>
      <c r="H34" s="1">
        <f t="shared" si="4"/>
        <v>-2.2440000000642613E-2</v>
      </c>
      <c r="Q34" s="44">
        <f t="shared" si="3"/>
        <v>20857.875</v>
      </c>
    </row>
    <row r="35" spans="1:33">
      <c r="A35" s="4" t="s">
        <v>52</v>
      </c>
      <c r="B35" s="5" t="s">
        <v>44</v>
      </c>
      <c r="C35" s="6">
        <v>37579.546999999999</v>
      </c>
      <c r="D35" s="7"/>
      <c r="E35" s="8">
        <f t="shared" si="0"/>
        <v>2514.003461676627</v>
      </c>
      <c r="F35" s="1">
        <f t="shared" si="1"/>
        <v>2514</v>
      </c>
      <c r="G35" s="1">
        <f t="shared" si="2"/>
        <v>9.5399999991059303E-3</v>
      </c>
      <c r="H35" s="1">
        <f t="shared" si="4"/>
        <v>9.5399999991059303E-3</v>
      </c>
      <c r="Q35" s="44">
        <f t="shared" si="3"/>
        <v>22561.046999999999</v>
      </c>
    </row>
    <row r="36" spans="1:33">
      <c r="A36" s="4" t="s">
        <v>55</v>
      </c>
      <c r="B36" s="5" t="s">
        <v>44</v>
      </c>
      <c r="C36" s="6">
        <v>45326.332000000002</v>
      </c>
      <c r="D36" s="7"/>
      <c r="E36" s="8">
        <f t="shared" si="0"/>
        <v>5324.995554974982</v>
      </c>
      <c r="F36" s="1">
        <f t="shared" si="1"/>
        <v>5325</v>
      </c>
      <c r="G36" s="1">
        <f t="shared" si="2"/>
        <v>-1.2249999999767169E-2</v>
      </c>
      <c r="H36" s="1">
        <f t="shared" si="4"/>
        <v>-1.2249999999767169E-2</v>
      </c>
      <c r="Q36" s="44">
        <f t="shared" si="3"/>
        <v>30307.832000000002</v>
      </c>
    </row>
    <row r="37" spans="1:33">
      <c r="A37" s="1" t="s">
        <v>56</v>
      </c>
      <c r="C37" s="7">
        <v>46001.487999999998</v>
      </c>
      <c r="D37" s="7"/>
      <c r="E37" s="1">
        <f t="shared" si="0"/>
        <v>5569.9821110421672</v>
      </c>
      <c r="F37" s="1">
        <f t="shared" si="1"/>
        <v>5570</v>
      </c>
      <c r="G37" s="1">
        <f t="shared" si="2"/>
        <v>-4.9299999998765998E-2</v>
      </c>
      <c r="I37" s="1">
        <f t="shared" ref="I37:I43" si="5">G37</f>
        <v>-4.9299999998765998E-2</v>
      </c>
      <c r="Q37" s="44">
        <f t="shared" si="3"/>
        <v>30982.987999999998</v>
      </c>
      <c r="AA37" s="2" t="s">
        <v>32</v>
      </c>
      <c r="AG37" s="1" t="s">
        <v>57</v>
      </c>
    </row>
    <row r="38" spans="1:33">
      <c r="A38" s="1" t="s">
        <v>56</v>
      </c>
      <c r="C38" s="7">
        <v>46023.536999999997</v>
      </c>
      <c r="D38" s="7"/>
      <c r="E38" s="1">
        <f t="shared" si="0"/>
        <v>5577.9827932174348</v>
      </c>
      <c r="F38" s="1">
        <f t="shared" si="1"/>
        <v>5578</v>
      </c>
      <c r="G38" s="1">
        <f t="shared" si="2"/>
        <v>-4.7420000002603047E-2</v>
      </c>
      <c r="I38" s="1">
        <f t="shared" si="5"/>
        <v>-4.7420000002603047E-2</v>
      </c>
      <c r="Q38" s="44">
        <f t="shared" si="3"/>
        <v>31005.036999999997</v>
      </c>
      <c r="AA38" s="2" t="s">
        <v>32</v>
      </c>
      <c r="AG38" s="1" t="s">
        <v>57</v>
      </c>
    </row>
    <row r="39" spans="1:33">
      <c r="A39" s="1" t="s">
        <v>58</v>
      </c>
      <c r="C39" s="7">
        <v>46059.360000000001</v>
      </c>
      <c r="D39" s="7"/>
      <c r="E39" s="1">
        <f t="shared" si="0"/>
        <v>5590.9814978101449</v>
      </c>
      <c r="F39" s="1">
        <f t="shared" si="1"/>
        <v>5591</v>
      </c>
      <c r="G39" s="1">
        <f t="shared" si="2"/>
        <v>-5.0989999996090773E-2</v>
      </c>
      <c r="I39" s="1">
        <f t="shared" si="5"/>
        <v>-5.0989999996090773E-2</v>
      </c>
      <c r="Q39" s="44">
        <f t="shared" si="3"/>
        <v>31040.86</v>
      </c>
      <c r="AA39" s="2" t="s">
        <v>59</v>
      </c>
      <c r="AG39" s="1" t="s">
        <v>57</v>
      </c>
    </row>
    <row r="40" spans="1:33">
      <c r="A40" s="4" t="s">
        <v>60</v>
      </c>
      <c r="B40" s="5" t="s">
        <v>44</v>
      </c>
      <c r="C40" s="6">
        <v>46351.462</v>
      </c>
      <c r="D40" s="7"/>
      <c r="E40" s="8">
        <f t="shared" si="0"/>
        <v>5696.9733915359466</v>
      </c>
      <c r="F40" s="1">
        <f t="shared" si="1"/>
        <v>5697</v>
      </c>
      <c r="G40" s="1">
        <f t="shared" si="2"/>
        <v>-7.3329999999259599E-2</v>
      </c>
      <c r="I40" s="1">
        <f t="shared" si="5"/>
        <v>-7.3329999999259599E-2</v>
      </c>
      <c r="Q40" s="44">
        <f t="shared" si="3"/>
        <v>31332.962</v>
      </c>
    </row>
    <row r="41" spans="1:33">
      <c r="A41" s="4" t="s">
        <v>60</v>
      </c>
      <c r="B41" s="5" t="s">
        <v>44</v>
      </c>
      <c r="C41" s="6">
        <v>46442.408000000003</v>
      </c>
      <c r="D41" s="7"/>
      <c r="E41" s="8">
        <f t="shared" si="0"/>
        <v>5729.9739829964201</v>
      </c>
      <c r="F41" s="1">
        <f t="shared" si="1"/>
        <v>5730</v>
      </c>
      <c r="G41" s="1">
        <f t="shared" si="2"/>
        <v>-7.1699999993143138E-2</v>
      </c>
      <c r="I41" s="1">
        <f t="shared" si="5"/>
        <v>-7.1699999993143138E-2</v>
      </c>
      <c r="Q41" s="44">
        <f t="shared" si="3"/>
        <v>31423.908000000003</v>
      </c>
    </row>
    <row r="42" spans="1:33">
      <c r="A42" s="1" t="s">
        <v>61</v>
      </c>
      <c r="C42" s="7">
        <v>46770.375999999997</v>
      </c>
      <c r="D42" s="7"/>
      <c r="E42" s="1">
        <f t="shared" si="0"/>
        <v>5848.9801842598936</v>
      </c>
      <c r="F42" s="1">
        <f t="shared" si="1"/>
        <v>5849</v>
      </c>
      <c r="G42" s="1">
        <f t="shared" si="2"/>
        <v>-5.4609999999229331E-2</v>
      </c>
      <c r="I42" s="1">
        <f t="shared" si="5"/>
        <v>-5.4609999999229331E-2</v>
      </c>
      <c r="Q42" s="44">
        <f t="shared" si="3"/>
        <v>31751.875999999997</v>
      </c>
      <c r="AA42" s="2" t="s">
        <v>32</v>
      </c>
      <c r="AG42" s="1" t="s">
        <v>57</v>
      </c>
    </row>
    <row r="43" spans="1:33">
      <c r="A43" s="4" t="s">
        <v>62</v>
      </c>
      <c r="B43" s="5" t="s">
        <v>44</v>
      </c>
      <c r="C43" s="6">
        <v>47856.211000000003</v>
      </c>
      <c r="D43" s="7"/>
      <c r="E43" s="8">
        <f t="shared" si="0"/>
        <v>6242.9853876606121</v>
      </c>
      <c r="F43" s="1">
        <f t="shared" si="1"/>
        <v>6243</v>
      </c>
      <c r="G43" s="1">
        <f t="shared" si="2"/>
        <v>-4.026999999769032E-2</v>
      </c>
      <c r="I43" s="1">
        <f t="shared" si="5"/>
        <v>-4.026999999769032E-2</v>
      </c>
      <c r="Q43" s="44">
        <f t="shared" si="3"/>
        <v>32837.711000000003</v>
      </c>
    </row>
    <row r="44" spans="1:33">
      <c r="A44" s="1" t="s">
        <v>63</v>
      </c>
      <c r="C44" s="7">
        <v>47864.444100000001</v>
      </c>
      <c r="D44" s="7"/>
      <c r="E44" s="1">
        <f t="shared" si="0"/>
        <v>6245.9728436185778</v>
      </c>
      <c r="F44" s="1">
        <f t="shared" si="1"/>
        <v>6246</v>
      </c>
      <c r="G44" s="1">
        <f t="shared" si="2"/>
        <v>-7.4839999993855599E-2</v>
      </c>
      <c r="J44" s="1">
        <f>G44</f>
        <v>-7.4839999993855599E-2</v>
      </c>
      <c r="Q44" s="44">
        <f t="shared" si="3"/>
        <v>32845.944100000001</v>
      </c>
      <c r="AA44" s="2" t="s">
        <v>64</v>
      </c>
      <c r="AG44" s="1" t="s">
        <v>57</v>
      </c>
    </row>
    <row r="45" spans="1:33">
      <c r="A45" s="4" t="s">
        <v>65</v>
      </c>
      <c r="B45" s="5" t="s">
        <v>44</v>
      </c>
      <c r="C45" s="6">
        <v>47864.445299999999</v>
      </c>
      <c r="D45" s="7"/>
      <c r="E45" s="8">
        <f t="shared" si="0"/>
        <v>6245.9732790495991</v>
      </c>
      <c r="F45" s="1">
        <f t="shared" si="1"/>
        <v>6246</v>
      </c>
      <c r="G45" s="1">
        <f t="shared" si="2"/>
        <v>-7.3639999995066319E-2</v>
      </c>
      <c r="J45" s="1">
        <f>G45</f>
        <v>-7.3639999995066319E-2</v>
      </c>
      <c r="Q45" s="44">
        <f t="shared" si="3"/>
        <v>32845.945299999999</v>
      </c>
    </row>
    <row r="46" spans="1:33">
      <c r="A46" s="1" t="s">
        <v>63</v>
      </c>
      <c r="C46" s="7">
        <v>47864.446400000001</v>
      </c>
      <c r="D46" s="7"/>
      <c r="E46" s="1">
        <f t="shared" si="0"/>
        <v>6245.9736781947031</v>
      </c>
      <c r="F46" s="1">
        <f t="shared" si="1"/>
        <v>6246</v>
      </c>
      <c r="G46" s="1">
        <f t="shared" si="2"/>
        <v>-7.2539999993750826E-2</v>
      </c>
      <c r="J46" s="1">
        <f>G46</f>
        <v>-7.2539999993750826E-2</v>
      </c>
      <c r="Q46" s="44">
        <f t="shared" si="3"/>
        <v>32845.946400000001</v>
      </c>
      <c r="AA46" s="2" t="s">
        <v>64</v>
      </c>
      <c r="AG46" s="1" t="s">
        <v>57</v>
      </c>
    </row>
    <row r="47" spans="1:33">
      <c r="A47" s="1" t="s">
        <v>66</v>
      </c>
      <c r="C47" s="7">
        <v>50008.508999999998</v>
      </c>
      <c r="D47" s="7">
        <v>3.0000000000000001E-3</v>
      </c>
      <c r="E47" s="1">
        <f t="shared" si="0"/>
        <v>7023.9664863256512</v>
      </c>
      <c r="F47" s="1">
        <f t="shared" si="1"/>
        <v>7024</v>
      </c>
      <c r="G47" s="1">
        <f t="shared" si="2"/>
        <v>-9.2360000002372544E-2</v>
      </c>
      <c r="I47" s="1">
        <f>G47</f>
        <v>-9.2360000002372544E-2</v>
      </c>
      <c r="Q47" s="44">
        <f t="shared" si="3"/>
        <v>34990.008999999998</v>
      </c>
      <c r="AA47" s="2" t="s">
        <v>67</v>
      </c>
      <c r="AB47" s="1">
        <v>31</v>
      </c>
      <c r="AD47" s="1" t="s">
        <v>68</v>
      </c>
      <c r="AE47" s="1" t="s">
        <v>69</v>
      </c>
      <c r="AG47" s="1" t="s">
        <v>70</v>
      </c>
    </row>
    <row r="48" spans="1:33">
      <c r="A48" s="1" t="s">
        <v>71</v>
      </c>
      <c r="B48" s="9"/>
      <c r="C48" s="7">
        <v>51919.724600000001</v>
      </c>
      <c r="D48" s="7">
        <v>5.0000000000000001E-4</v>
      </c>
      <c r="E48" s="1">
        <f t="shared" si="0"/>
        <v>7717.4686217519575</v>
      </c>
      <c r="F48" s="1">
        <f t="shared" si="1"/>
        <v>7717.5</v>
      </c>
      <c r="G48" s="1">
        <f t="shared" si="2"/>
        <v>-8.647499999642605E-2</v>
      </c>
      <c r="K48" s="1">
        <f>G48</f>
        <v>-8.647499999642605E-2</v>
      </c>
      <c r="Q48" s="44">
        <f t="shared" si="3"/>
        <v>36901.224600000001</v>
      </c>
    </row>
    <row r="49" spans="1:17">
      <c r="A49" s="1" t="s">
        <v>71</v>
      </c>
      <c r="B49" s="10"/>
      <c r="C49" s="7">
        <v>51966.5772</v>
      </c>
      <c r="D49" s="7">
        <v>6.9999999999999999E-4</v>
      </c>
      <c r="E49" s="1">
        <f t="shared" si="0"/>
        <v>7734.4695180141443</v>
      </c>
      <c r="F49" s="1">
        <f t="shared" si="1"/>
        <v>7734.5</v>
      </c>
      <c r="G49" s="1">
        <f t="shared" si="2"/>
        <v>-8.4004999996977858E-2</v>
      </c>
      <c r="K49" s="1">
        <f>G49</f>
        <v>-8.4004999996977858E-2</v>
      </c>
      <c r="Q49" s="44">
        <f t="shared" si="3"/>
        <v>36948.0772</v>
      </c>
    </row>
    <row r="50" spans="1:17">
      <c r="A50" s="1" t="s">
        <v>72</v>
      </c>
      <c r="B50" s="2" t="s">
        <v>46</v>
      </c>
      <c r="C50" s="11">
        <v>52178.779600000002</v>
      </c>
      <c r="D50" s="11">
        <v>5.0000000000000001E-4</v>
      </c>
      <c r="E50" s="1">
        <f t="shared" si="0"/>
        <v>7811.4691079832655</v>
      </c>
      <c r="F50" s="1">
        <f t="shared" si="1"/>
        <v>7811.5</v>
      </c>
      <c r="G50" s="1">
        <f t="shared" si="2"/>
        <v>-8.5134999993897509E-2</v>
      </c>
      <c r="K50" s="1">
        <f>G50</f>
        <v>-8.5134999993897509E-2</v>
      </c>
      <c r="Q50" s="44">
        <f t="shared" si="3"/>
        <v>37160.279600000002</v>
      </c>
    </row>
    <row r="51" spans="1:17">
      <c r="A51" s="4" t="s">
        <v>73</v>
      </c>
      <c r="B51" s="5" t="s">
        <v>44</v>
      </c>
      <c r="C51" s="6">
        <v>52621.105499999998</v>
      </c>
      <c r="D51" s="7"/>
      <c r="E51" s="8">
        <f t="shared" si="0"/>
        <v>7971.9711236660387</v>
      </c>
      <c r="F51" s="1">
        <f t="shared" si="1"/>
        <v>7972</v>
      </c>
      <c r="G51" s="1">
        <f t="shared" si="2"/>
        <v>-7.9579999997804407E-2</v>
      </c>
      <c r="K51" s="1">
        <f>G51</f>
        <v>-7.9579999997804407E-2</v>
      </c>
      <c r="O51" s="1">
        <f ca="1">+C$11+C$12*F51</f>
        <v>-5.6216928810053857E-2</v>
      </c>
      <c r="Q51" s="44">
        <f t="shared" si="3"/>
        <v>37602.605499999998</v>
      </c>
    </row>
    <row r="52" spans="1:17">
      <c r="A52" s="1" t="s">
        <v>74</v>
      </c>
      <c r="B52" s="2" t="s">
        <v>46</v>
      </c>
      <c r="C52" s="11">
        <v>52933.896000000001</v>
      </c>
      <c r="D52" s="11">
        <v>5.0000000000000001E-4</v>
      </c>
      <c r="E52" s="1">
        <f t="shared" si="0"/>
        <v>8085.4700296455958</v>
      </c>
      <c r="F52" s="1">
        <f t="shared" si="1"/>
        <v>8085.5</v>
      </c>
      <c r="G52" s="1">
        <f t="shared" si="2"/>
        <v>-8.2594999999855645E-2</v>
      </c>
      <c r="K52" s="1">
        <f>G52</f>
        <v>-8.2594999999855645E-2</v>
      </c>
      <c r="Q52" s="44">
        <f t="shared" si="3"/>
        <v>37915.396000000001</v>
      </c>
    </row>
    <row r="53" spans="1:17">
      <c r="A53" s="12" t="s">
        <v>75</v>
      </c>
      <c r="B53" s="13" t="s">
        <v>46</v>
      </c>
      <c r="C53" s="11">
        <v>52972.4836</v>
      </c>
      <c r="D53" s="11">
        <v>5.0000000000000001E-4</v>
      </c>
      <c r="E53" s="1">
        <f t="shared" ref="E53:E84" si="6">+(C53-C$7)/C$8</f>
        <v>8099.4718947418078</v>
      </c>
      <c r="F53" s="1">
        <f t="shared" ref="F53:F84" si="7">ROUND(2*E53,0)/2</f>
        <v>8099.5</v>
      </c>
      <c r="G53" s="1">
        <f t="shared" ref="G53:G84" si="8">+C53-(C$7+F53*C$8)</f>
        <v>-7.745499999873573E-2</v>
      </c>
      <c r="J53" s="1">
        <f>G53</f>
        <v>-7.745499999873573E-2</v>
      </c>
      <c r="Q53" s="44">
        <f t="shared" ref="Q53:Q84" si="9">+C53-15018.5</f>
        <v>37953.9836</v>
      </c>
    </row>
    <row r="54" spans="1:17">
      <c r="A54" s="12" t="s">
        <v>75</v>
      </c>
      <c r="B54" s="13" t="s">
        <v>44</v>
      </c>
      <c r="C54" s="11">
        <v>52979.372799999997</v>
      </c>
      <c r="D54" s="11">
        <v>6.9999999999999999E-4</v>
      </c>
      <c r="E54" s="1">
        <f t="shared" si="6"/>
        <v>8101.9717042407347</v>
      </c>
      <c r="F54" s="1">
        <f t="shared" si="7"/>
        <v>8102</v>
      </c>
      <c r="G54" s="1">
        <f t="shared" si="8"/>
        <v>-7.7980000001844019E-2</v>
      </c>
      <c r="J54" s="1">
        <f>G54</f>
        <v>-7.7980000001844019E-2</v>
      </c>
      <c r="Q54" s="44">
        <f t="shared" si="9"/>
        <v>37960.872799999997</v>
      </c>
    </row>
    <row r="55" spans="1:17">
      <c r="A55" s="4" t="s">
        <v>76</v>
      </c>
      <c r="B55" s="5" t="s">
        <v>44</v>
      </c>
      <c r="C55" s="6">
        <v>52993.152199999997</v>
      </c>
      <c r="D55" s="7"/>
      <c r="E55" s="8">
        <f t="shared" si="6"/>
        <v>8106.9716860977751</v>
      </c>
      <c r="F55" s="1">
        <f t="shared" si="7"/>
        <v>8107</v>
      </c>
      <c r="G55" s="1">
        <f t="shared" si="8"/>
        <v>-7.8030000004218891E-2</v>
      </c>
      <c r="K55" s="1">
        <f>G55</f>
        <v>-7.8030000004218891E-2</v>
      </c>
      <c r="O55" s="1">
        <f ca="1">+C$11+C$12*F55</f>
        <v>-6.1627796898865439E-2</v>
      </c>
      <c r="Q55" s="44">
        <f t="shared" si="9"/>
        <v>37974.652199999997</v>
      </c>
    </row>
    <row r="56" spans="1:17">
      <c r="A56" s="12" t="s">
        <v>75</v>
      </c>
      <c r="B56" s="13" t="s">
        <v>46</v>
      </c>
      <c r="C56" s="11">
        <v>53311.461499999998</v>
      </c>
      <c r="D56" s="11">
        <v>6.9999999999999999E-4</v>
      </c>
      <c r="E56" s="1">
        <f t="shared" si="6"/>
        <v>8222.4731393488128</v>
      </c>
      <c r="F56" s="1">
        <f t="shared" si="7"/>
        <v>8222.5</v>
      </c>
      <c r="G56" s="1">
        <f t="shared" si="8"/>
        <v>-7.4025000001711305E-2</v>
      </c>
      <c r="J56" s="1">
        <f>G56</f>
        <v>-7.4025000001711305E-2</v>
      </c>
      <c r="Q56" s="44">
        <f t="shared" si="9"/>
        <v>38292.961499999998</v>
      </c>
    </row>
    <row r="57" spans="1:17">
      <c r="A57" s="12" t="s">
        <v>77</v>
      </c>
      <c r="B57" s="2" t="s">
        <v>46</v>
      </c>
      <c r="C57" s="11">
        <v>53341.777900000001</v>
      </c>
      <c r="D57" s="11">
        <v>5.0000000000000001E-4</v>
      </c>
      <c r="E57" s="1">
        <f t="shared" si="6"/>
        <v>8233.4737235521025</v>
      </c>
      <c r="F57" s="1">
        <f t="shared" si="7"/>
        <v>8233.5</v>
      </c>
      <c r="G57" s="1">
        <f t="shared" si="8"/>
        <v>-7.2415000002365559E-2</v>
      </c>
      <c r="K57" s="1">
        <f>G57</f>
        <v>-7.2415000002365559E-2</v>
      </c>
      <c r="Q57" s="44">
        <f t="shared" si="9"/>
        <v>38323.277900000001</v>
      </c>
    </row>
    <row r="58" spans="1:17">
      <c r="A58" s="12" t="s">
        <v>77</v>
      </c>
      <c r="B58" s="2" t="s">
        <v>46</v>
      </c>
      <c r="C58" s="11">
        <v>53366.585099999997</v>
      </c>
      <c r="D58" s="11">
        <v>4.0000000000000002E-4</v>
      </c>
      <c r="E58" s="1">
        <f t="shared" si="6"/>
        <v>8242.4752439320855</v>
      </c>
      <c r="F58" s="1">
        <f t="shared" si="7"/>
        <v>8242.5</v>
      </c>
      <c r="G58" s="1">
        <f t="shared" si="8"/>
        <v>-6.8225000002712477E-2</v>
      </c>
      <c r="K58" s="1">
        <f>G58</f>
        <v>-6.8225000002712477E-2</v>
      </c>
      <c r="Q58" s="44">
        <f t="shared" si="9"/>
        <v>38348.085099999997</v>
      </c>
    </row>
    <row r="59" spans="1:17">
      <c r="A59" s="12" t="s">
        <v>77</v>
      </c>
      <c r="B59" s="2" t="s">
        <v>46</v>
      </c>
      <c r="C59" s="11">
        <v>53377.608999999997</v>
      </c>
      <c r="D59" s="11">
        <v>5.0000000000000001E-4</v>
      </c>
      <c r="E59" s="1">
        <f t="shared" si="6"/>
        <v>8246.4753673042087</v>
      </c>
      <c r="F59" s="1">
        <f t="shared" si="7"/>
        <v>8246.5</v>
      </c>
      <c r="G59" s="1">
        <f t="shared" si="8"/>
        <v>-6.7885000004025642E-2</v>
      </c>
      <c r="K59" s="1">
        <f>G59</f>
        <v>-6.7885000004025642E-2</v>
      </c>
      <c r="Q59" s="44">
        <f t="shared" si="9"/>
        <v>38359.108999999997</v>
      </c>
    </row>
    <row r="60" spans="1:17">
      <c r="A60" s="12" t="s">
        <v>77</v>
      </c>
      <c r="B60" s="2" t="s">
        <v>46</v>
      </c>
      <c r="C60" s="11">
        <v>53399.655700000003</v>
      </c>
      <c r="D60" s="11">
        <v>6.9999999999999999E-4</v>
      </c>
      <c r="E60" s="1">
        <f t="shared" si="6"/>
        <v>8254.4752149033538</v>
      </c>
      <c r="F60" s="1">
        <f t="shared" si="7"/>
        <v>8254.5</v>
      </c>
      <c r="G60" s="1">
        <f t="shared" si="8"/>
        <v>-6.8304999993415549E-2</v>
      </c>
      <c r="K60" s="1">
        <f>G60</f>
        <v>-6.8304999993415549E-2</v>
      </c>
      <c r="Q60" s="44">
        <f t="shared" si="9"/>
        <v>38381.155700000003</v>
      </c>
    </row>
    <row r="61" spans="1:17">
      <c r="A61" s="12" t="s">
        <v>78</v>
      </c>
      <c r="B61" s="13"/>
      <c r="C61" s="7">
        <v>53409.299400000004</v>
      </c>
      <c r="D61" s="7">
        <v>5.3E-3</v>
      </c>
      <c r="E61" s="1">
        <f t="shared" si="6"/>
        <v>8257.974520028014</v>
      </c>
      <c r="F61" s="1">
        <f t="shared" si="7"/>
        <v>8258</v>
      </c>
      <c r="G61" s="1">
        <f t="shared" si="8"/>
        <v>-7.0219999994151294E-2</v>
      </c>
      <c r="J61" s="1">
        <f>G61</f>
        <v>-7.0219999994151294E-2</v>
      </c>
      <c r="Q61" s="44">
        <f t="shared" si="9"/>
        <v>38390.799400000004</v>
      </c>
    </row>
    <row r="62" spans="1:17">
      <c r="A62" t="s">
        <v>79</v>
      </c>
      <c r="B62" s="2" t="s">
        <v>46</v>
      </c>
      <c r="C62" s="7">
        <v>53683.512699999999</v>
      </c>
      <c r="D62" s="7">
        <v>5.9999999999999995E-4</v>
      </c>
      <c r="E62" s="1">
        <f t="shared" si="6"/>
        <v>8357.4753346468842</v>
      </c>
      <c r="F62" s="1">
        <f t="shared" si="7"/>
        <v>8357.5</v>
      </c>
      <c r="G62" s="1">
        <f t="shared" si="8"/>
        <v>-6.7974999998114072E-2</v>
      </c>
      <c r="J62" s="1">
        <f>G62</f>
        <v>-6.7974999998114072E-2</v>
      </c>
      <c r="Q62" s="44">
        <f t="shared" si="9"/>
        <v>38665.012699999999</v>
      </c>
    </row>
    <row r="63" spans="1:17">
      <c r="A63" s="12" t="s">
        <v>77</v>
      </c>
      <c r="B63" s="2" t="s">
        <v>44</v>
      </c>
      <c r="C63" s="11">
        <v>53684.8897</v>
      </c>
      <c r="D63" s="11">
        <v>4.0000000000000002E-4</v>
      </c>
      <c r="E63" s="1">
        <f t="shared" si="6"/>
        <v>8357.9749917449535</v>
      </c>
      <c r="F63" s="1">
        <f t="shared" si="7"/>
        <v>8358</v>
      </c>
      <c r="G63" s="1">
        <f t="shared" si="8"/>
        <v>-6.8919999997888226E-2</v>
      </c>
      <c r="K63" s="1">
        <f t="shared" ref="K63:K71" si="10">G63</f>
        <v>-6.8919999997888226E-2</v>
      </c>
      <c r="Q63" s="44">
        <f t="shared" si="9"/>
        <v>38666.3897</v>
      </c>
    </row>
    <row r="64" spans="1:17">
      <c r="A64" s="12" t="s">
        <v>77</v>
      </c>
      <c r="B64" s="2" t="s">
        <v>46</v>
      </c>
      <c r="C64" s="11">
        <v>53727.608699999997</v>
      </c>
      <c r="D64" s="11">
        <v>4.0000000000000002E-4</v>
      </c>
      <c r="E64" s="1">
        <f t="shared" si="6"/>
        <v>8373.475973279048</v>
      </c>
      <c r="F64" s="1">
        <f t="shared" si="7"/>
        <v>8373.5</v>
      </c>
      <c r="G64" s="1">
        <f t="shared" si="8"/>
        <v>-6.6214999998919666E-2</v>
      </c>
      <c r="K64" s="1">
        <f t="shared" si="10"/>
        <v>-6.6214999998919666E-2</v>
      </c>
      <c r="O64" s="1">
        <f t="shared" ref="O64:O92" ca="1" si="11">+C$11+C$12*F64</f>
        <v>-7.2309251311223122E-2</v>
      </c>
      <c r="Q64" s="44">
        <f t="shared" si="9"/>
        <v>38709.108699999997</v>
      </c>
    </row>
    <row r="65" spans="1:17">
      <c r="A65" s="14" t="s">
        <v>80</v>
      </c>
      <c r="B65" s="13" t="s">
        <v>46</v>
      </c>
      <c r="C65" s="11">
        <v>53738.633800000003</v>
      </c>
      <c r="D65" s="15">
        <v>4.0000000000000002E-4</v>
      </c>
      <c r="E65" s="1">
        <f t="shared" si="6"/>
        <v>8377.4765320821971</v>
      </c>
      <c r="F65" s="1">
        <f t="shared" si="7"/>
        <v>8377.5</v>
      </c>
      <c r="G65" s="1">
        <f t="shared" si="8"/>
        <v>-6.4674999994167592E-2</v>
      </c>
      <c r="K65" s="1">
        <f t="shared" si="10"/>
        <v>-6.4674999994167592E-2</v>
      </c>
      <c r="O65" s="1">
        <f t="shared" ca="1" si="11"/>
        <v>-7.2469573328669379E-2</v>
      </c>
      <c r="Q65" s="44">
        <f t="shared" si="9"/>
        <v>38720.133800000003</v>
      </c>
    </row>
    <row r="66" spans="1:17">
      <c r="A66" s="14" t="s">
        <v>80</v>
      </c>
      <c r="B66" s="13">
        <v>1</v>
      </c>
      <c r="C66" s="11">
        <v>53742.762699999999</v>
      </c>
      <c r="D66" s="15">
        <v>5.0000000000000001E-4</v>
      </c>
      <c r="E66" s="1">
        <f t="shared" si="6"/>
        <v>8378.9747413721161</v>
      </c>
      <c r="F66" s="1">
        <f t="shared" si="7"/>
        <v>8379</v>
      </c>
      <c r="G66" s="1">
        <f t="shared" si="8"/>
        <v>-6.9609999998647254E-2</v>
      </c>
      <c r="K66" s="1">
        <f t="shared" si="10"/>
        <v>-6.9609999998647254E-2</v>
      </c>
      <c r="O66" s="1">
        <f t="shared" ca="1" si="11"/>
        <v>-7.252969408521176E-2</v>
      </c>
      <c r="Q66" s="44">
        <f t="shared" si="9"/>
        <v>38724.262699999999</v>
      </c>
    </row>
    <row r="67" spans="1:17">
      <c r="A67" s="14" t="s">
        <v>80</v>
      </c>
      <c r="B67" s="13" t="s">
        <v>46</v>
      </c>
      <c r="C67" s="11">
        <v>53749.654799999997</v>
      </c>
      <c r="D67" s="15">
        <v>5.0000000000000001E-4</v>
      </c>
      <c r="E67" s="1">
        <f t="shared" si="6"/>
        <v>8381.4756031626803</v>
      </c>
      <c r="F67" s="1">
        <f t="shared" si="7"/>
        <v>8381.5</v>
      </c>
      <c r="G67" s="1">
        <f t="shared" si="8"/>
        <v>-6.7235000002256129E-2</v>
      </c>
      <c r="K67" s="1">
        <f t="shared" si="10"/>
        <v>-6.7235000002256129E-2</v>
      </c>
      <c r="O67" s="1">
        <f t="shared" ca="1" si="11"/>
        <v>-7.2629895346115636E-2</v>
      </c>
      <c r="Q67" s="44">
        <f t="shared" si="9"/>
        <v>38731.154799999997</v>
      </c>
    </row>
    <row r="68" spans="1:17">
      <c r="A68" s="14" t="s">
        <v>80</v>
      </c>
      <c r="B68" s="13">
        <v>1</v>
      </c>
      <c r="C68" s="11">
        <v>53753.785799999998</v>
      </c>
      <c r="D68" s="15">
        <v>5.9999999999999995E-4</v>
      </c>
      <c r="E68" s="1">
        <f t="shared" si="6"/>
        <v>8382.97457445689</v>
      </c>
      <c r="F68" s="1">
        <f t="shared" si="7"/>
        <v>8383</v>
      </c>
      <c r="G68" s="1">
        <f t="shared" si="8"/>
        <v>-7.0070000001578592E-2</v>
      </c>
      <c r="K68" s="1">
        <f t="shared" si="10"/>
        <v>-7.0070000001578592E-2</v>
      </c>
      <c r="O68" s="1">
        <f t="shared" ca="1" si="11"/>
        <v>-7.2690016102658017E-2</v>
      </c>
      <c r="Q68" s="44">
        <f t="shared" si="9"/>
        <v>38735.285799999998</v>
      </c>
    </row>
    <row r="69" spans="1:17">
      <c r="A69" s="14" t="s">
        <v>80</v>
      </c>
      <c r="B69" s="16" t="s">
        <v>46</v>
      </c>
      <c r="C69" s="17">
        <v>54041.767500000002</v>
      </c>
      <c r="D69" s="17">
        <v>4.0000000000000002E-4</v>
      </c>
      <c r="E69" s="8">
        <f t="shared" si="6"/>
        <v>8487.4713794817653</v>
      </c>
      <c r="F69" s="1">
        <f t="shared" si="7"/>
        <v>8487.5</v>
      </c>
      <c r="G69" s="1">
        <f t="shared" si="8"/>
        <v>-7.8874999991967343E-2</v>
      </c>
      <c r="K69" s="1">
        <f t="shared" si="10"/>
        <v>-7.8874999991967343E-2</v>
      </c>
      <c r="O69" s="1">
        <f t="shared" ca="1" si="11"/>
        <v>-7.6878428808441757E-2</v>
      </c>
      <c r="Q69" s="44">
        <f t="shared" si="9"/>
        <v>39023.267500000002</v>
      </c>
    </row>
    <row r="70" spans="1:17">
      <c r="A70" s="14" t="s">
        <v>80</v>
      </c>
      <c r="B70" s="16" t="s">
        <v>46</v>
      </c>
      <c r="C70" s="17">
        <v>54041.770499999999</v>
      </c>
      <c r="D70" s="17">
        <v>5.0000000000000001E-4</v>
      </c>
      <c r="E70" s="8">
        <f t="shared" si="6"/>
        <v>8487.4724680593208</v>
      </c>
      <c r="F70" s="1">
        <f t="shared" si="7"/>
        <v>8487.5</v>
      </c>
      <c r="G70" s="1">
        <f t="shared" si="8"/>
        <v>-7.5874999994994141E-2</v>
      </c>
      <c r="K70" s="1">
        <f t="shared" si="10"/>
        <v>-7.5874999994994141E-2</v>
      </c>
      <c r="O70" s="1">
        <f t="shared" ca="1" si="11"/>
        <v>-7.6878428808441757E-2</v>
      </c>
      <c r="Q70" s="44">
        <f t="shared" si="9"/>
        <v>39023.270499999999</v>
      </c>
    </row>
    <row r="71" spans="1:17">
      <c r="A71" s="18" t="s">
        <v>81</v>
      </c>
      <c r="B71" s="19" t="s">
        <v>44</v>
      </c>
      <c r="C71" s="14">
        <v>54070.704299999998</v>
      </c>
      <c r="D71" s="14">
        <v>2.9999999999999997E-4</v>
      </c>
      <c r="E71" s="8">
        <f t="shared" si="6"/>
        <v>8497.9713631531013</v>
      </c>
      <c r="F71" s="1">
        <f t="shared" si="7"/>
        <v>8498</v>
      </c>
      <c r="G71" s="1">
        <f t="shared" si="8"/>
        <v>-7.8919999999925494E-2</v>
      </c>
      <c r="K71" s="1">
        <f t="shared" si="10"/>
        <v>-7.8919999999925494E-2</v>
      </c>
      <c r="O71" s="1">
        <f t="shared" ca="1" si="11"/>
        <v>-7.7299274104238258E-2</v>
      </c>
      <c r="Q71" s="44">
        <f t="shared" si="9"/>
        <v>39052.204299999998</v>
      </c>
    </row>
    <row r="72" spans="1:17">
      <c r="A72" s="14" t="s">
        <v>82</v>
      </c>
      <c r="B72" s="16" t="s">
        <v>44</v>
      </c>
      <c r="C72" s="14">
        <v>54084.485999999997</v>
      </c>
      <c r="D72" s="14">
        <v>6.9999999999999999E-4</v>
      </c>
      <c r="E72" s="8">
        <f t="shared" si="6"/>
        <v>8502.9721795862679</v>
      </c>
      <c r="F72" s="1">
        <f t="shared" si="7"/>
        <v>8503</v>
      </c>
      <c r="G72" s="1">
        <f t="shared" si="8"/>
        <v>-7.6670000002195593E-2</v>
      </c>
      <c r="J72" s="1">
        <f>G72</f>
        <v>-7.6670000002195593E-2</v>
      </c>
      <c r="O72" s="1">
        <f t="shared" ca="1" si="11"/>
        <v>-7.7499676626046066E-2</v>
      </c>
      <c r="Q72" s="44">
        <f t="shared" si="9"/>
        <v>39065.985999999997</v>
      </c>
    </row>
    <row r="73" spans="1:17">
      <c r="A73" s="14" t="s">
        <v>80</v>
      </c>
      <c r="B73" s="16" t="s">
        <v>46</v>
      </c>
      <c r="C73" s="17">
        <v>54085.8649</v>
      </c>
      <c r="D73" s="17">
        <v>4.0000000000000002E-4</v>
      </c>
      <c r="E73" s="8">
        <f t="shared" si="6"/>
        <v>8503.4725261167896</v>
      </c>
      <c r="F73" s="1">
        <f t="shared" si="7"/>
        <v>8503.5</v>
      </c>
      <c r="G73" s="1">
        <f t="shared" si="8"/>
        <v>-7.5714999999036081E-2</v>
      </c>
      <c r="K73" s="1">
        <f>G73</f>
        <v>-7.5714999999036081E-2</v>
      </c>
      <c r="O73" s="1">
        <f t="shared" ca="1" si="11"/>
        <v>-7.7519716878226841E-2</v>
      </c>
      <c r="Q73" s="44">
        <f t="shared" si="9"/>
        <v>39067.3649</v>
      </c>
    </row>
    <row r="74" spans="1:17">
      <c r="A74" s="17" t="s">
        <v>83</v>
      </c>
      <c r="B74" s="16" t="s">
        <v>44</v>
      </c>
      <c r="C74" s="17">
        <v>54384.870999999999</v>
      </c>
      <c r="D74" s="17">
        <v>4.0000000000000002E-4</v>
      </c>
      <c r="E74" s="8">
        <f t="shared" si="6"/>
        <v>8611.9696359433801</v>
      </c>
      <c r="F74" s="1">
        <f t="shared" si="7"/>
        <v>8612</v>
      </c>
      <c r="G74" s="1">
        <f t="shared" si="8"/>
        <v>-8.3679999996093102E-2</v>
      </c>
      <c r="K74" s="1">
        <f>G74</f>
        <v>-8.3679999996093102E-2</v>
      </c>
      <c r="O74" s="1">
        <f t="shared" ca="1" si="11"/>
        <v>-8.1868451601456893E-2</v>
      </c>
      <c r="Q74" s="44">
        <f t="shared" si="9"/>
        <v>39366.370999999999</v>
      </c>
    </row>
    <row r="75" spans="1:17">
      <c r="A75" s="4" t="s">
        <v>84</v>
      </c>
      <c r="B75" s="5" t="s">
        <v>44</v>
      </c>
      <c r="C75" s="6">
        <v>54387.626400000001</v>
      </c>
      <c r="D75" s="7"/>
      <c r="E75" s="8">
        <f t="shared" si="6"/>
        <v>8612.9694581423792</v>
      </c>
      <c r="F75" s="1">
        <f t="shared" si="7"/>
        <v>8613</v>
      </c>
      <c r="G75" s="1">
        <f t="shared" si="8"/>
        <v>-8.4169999994628597E-2</v>
      </c>
      <c r="M75" s="1">
        <f>G75</f>
        <v>-8.4169999994628597E-2</v>
      </c>
      <c r="O75" s="1">
        <f t="shared" ca="1" si="11"/>
        <v>-8.1908532105818499E-2</v>
      </c>
      <c r="Q75" s="44">
        <f t="shared" si="9"/>
        <v>39369.126400000001</v>
      </c>
    </row>
    <row r="76" spans="1:17">
      <c r="A76" s="17" t="s">
        <v>83</v>
      </c>
      <c r="B76" s="16" t="s">
        <v>44</v>
      </c>
      <c r="C76" s="17">
        <v>54406.920599999998</v>
      </c>
      <c r="D76" s="17">
        <v>2.9999999999999997E-4</v>
      </c>
      <c r="E76" s="8">
        <f t="shared" si="6"/>
        <v>8619.970535834158</v>
      </c>
      <c r="F76" s="1">
        <f t="shared" si="7"/>
        <v>8620</v>
      </c>
      <c r="G76" s="1">
        <f t="shared" si="8"/>
        <v>-8.120000000053551E-2</v>
      </c>
      <c r="K76" s="1">
        <f>G76</f>
        <v>-8.120000000053551E-2</v>
      </c>
      <c r="O76" s="1">
        <f t="shared" ca="1" si="11"/>
        <v>-8.2189095636349463E-2</v>
      </c>
      <c r="Q76" s="44">
        <f t="shared" si="9"/>
        <v>39388.420599999998</v>
      </c>
    </row>
    <row r="77" spans="1:17">
      <c r="A77" s="17" t="s">
        <v>83</v>
      </c>
      <c r="B77" s="16" t="s">
        <v>44</v>
      </c>
      <c r="C77" s="17">
        <v>54734.861499999999</v>
      </c>
      <c r="D77" s="17">
        <v>4.0000000000000002E-4</v>
      </c>
      <c r="E77" s="8">
        <f t="shared" si="6"/>
        <v>8738.9669036137147</v>
      </c>
      <c r="F77" s="1">
        <f t="shared" si="7"/>
        <v>8739</v>
      </c>
      <c r="G77" s="1">
        <f t="shared" si="8"/>
        <v>-9.1209999998682179E-2</v>
      </c>
      <c r="K77" s="1">
        <f>G77</f>
        <v>-9.1209999998682179E-2</v>
      </c>
      <c r="O77" s="1">
        <f t="shared" ca="1" si="11"/>
        <v>-8.6958675655375961E-2</v>
      </c>
      <c r="Q77" s="44">
        <f t="shared" si="9"/>
        <v>39716.361499999999</v>
      </c>
    </row>
    <row r="78" spans="1:17">
      <c r="A78" s="20" t="s">
        <v>85</v>
      </c>
      <c r="B78" s="21" t="s">
        <v>44</v>
      </c>
      <c r="C78" s="20">
        <v>54842.339699999997</v>
      </c>
      <c r="D78" s="20">
        <v>1.9E-3</v>
      </c>
      <c r="E78" s="8">
        <f t="shared" si="6"/>
        <v>8777.9663556963442</v>
      </c>
      <c r="F78" s="1">
        <f t="shared" si="7"/>
        <v>8778</v>
      </c>
      <c r="G78" s="1">
        <f t="shared" si="8"/>
        <v>-9.2720000000554137E-2</v>
      </c>
      <c r="J78" s="1">
        <f>G78</f>
        <v>-9.2720000000554137E-2</v>
      </c>
      <c r="O78" s="1">
        <f t="shared" ca="1" si="11"/>
        <v>-8.8521815325477038E-2</v>
      </c>
      <c r="Q78" s="44">
        <f t="shared" si="9"/>
        <v>39823.839699999997</v>
      </c>
    </row>
    <row r="79" spans="1:17">
      <c r="A79" s="4" t="s">
        <v>86</v>
      </c>
      <c r="B79" s="5" t="s">
        <v>44</v>
      </c>
      <c r="C79" s="6">
        <v>55153.751499999998</v>
      </c>
      <c r="D79" s="7"/>
      <c r="E79" s="8">
        <f t="shared" si="6"/>
        <v>8890.964987717216</v>
      </c>
      <c r="F79" s="1">
        <f t="shared" si="7"/>
        <v>8891</v>
      </c>
      <c r="G79" s="1">
        <f t="shared" si="8"/>
        <v>-9.6489999996265396E-2</v>
      </c>
      <c r="K79" s="1">
        <f t="shared" ref="K79:K90" si="12">G79</f>
        <v>-9.6489999996265396E-2</v>
      </c>
      <c r="O79" s="1">
        <f t="shared" ca="1" si="11"/>
        <v>-9.3050912318334178E-2</v>
      </c>
      <c r="Q79" s="44">
        <f t="shared" si="9"/>
        <v>40135.251499999998</v>
      </c>
    </row>
    <row r="80" spans="1:17">
      <c r="A80" s="20" t="s">
        <v>87</v>
      </c>
      <c r="B80" s="21" t="s">
        <v>44</v>
      </c>
      <c r="C80" s="20">
        <v>55572.6417</v>
      </c>
      <c r="D80" s="20">
        <v>1.1000000000000001E-3</v>
      </c>
      <c r="E80" s="8">
        <f t="shared" si="6"/>
        <v>9042.9631443925555</v>
      </c>
      <c r="F80" s="1">
        <f t="shared" si="7"/>
        <v>9043</v>
      </c>
      <c r="G80" s="1">
        <f t="shared" si="8"/>
        <v>-0.10156999999890104</v>
      </c>
      <c r="K80" s="1">
        <f t="shared" si="12"/>
        <v>-0.10156999999890104</v>
      </c>
      <c r="O80" s="1">
        <f t="shared" ca="1" si="11"/>
        <v>-9.9143148981292395E-2</v>
      </c>
      <c r="Q80" s="44">
        <f t="shared" si="9"/>
        <v>40554.1417</v>
      </c>
    </row>
    <row r="81" spans="1:17">
      <c r="A81" s="20" t="s">
        <v>88</v>
      </c>
      <c r="B81" s="21" t="s">
        <v>46</v>
      </c>
      <c r="C81" s="20">
        <v>55868.893199999999</v>
      </c>
      <c r="D81" s="20">
        <v>5.9999999999999995E-4</v>
      </c>
      <c r="E81" s="8">
        <f t="shared" si="6"/>
        <v>9150.4607223074945</v>
      </c>
      <c r="F81" s="1">
        <f t="shared" si="7"/>
        <v>9150.5</v>
      </c>
      <c r="G81" s="1">
        <f t="shared" si="8"/>
        <v>-0.10824500000308035</v>
      </c>
      <c r="K81" s="1">
        <f t="shared" si="12"/>
        <v>-0.10824500000308035</v>
      </c>
      <c r="O81" s="1">
        <f t="shared" ca="1" si="11"/>
        <v>-0.10345180320016084</v>
      </c>
      <c r="Q81" s="44">
        <f t="shared" si="9"/>
        <v>40850.393199999999</v>
      </c>
    </row>
    <row r="82" spans="1:17">
      <c r="A82" s="18" t="s">
        <v>89</v>
      </c>
      <c r="B82" s="19" t="s">
        <v>44</v>
      </c>
      <c r="C82" s="14">
        <v>55994.288110000001</v>
      </c>
      <c r="D82" s="14">
        <v>5.0000000000000001E-4</v>
      </c>
      <c r="E82" s="8">
        <f t="shared" si="6"/>
        <v>9195.9614171828343</v>
      </c>
      <c r="F82" s="1">
        <f t="shared" si="7"/>
        <v>9196</v>
      </c>
      <c r="G82" s="1">
        <f t="shared" si="8"/>
        <v>-0.1063300000023446</v>
      </c>
      <c r="K82" s="1">
        <f t="shared" si="12"/>
        <v>-0.1063300000023446</v>
      </c>
      <c r="O82" s="1">
        <f t="shared" ca="1" si="11"/>
        <v>-0.10527546614861216</v>
      </c>
      <c r="Q82" s="44">
        <f t="shared" si="9"/>
        <v>40975.788110000001</v>
      </c>
    </row>
    <row r="83" spans="1:17">
      <c r="A83" s="18" t="s">
        <v>89</v>
      </c>
      <c r="B83" s="19" t="s">
        <v>44</v>
      </c>
      <c r="C83" s="14">
        <v>55994.288209999999</v>
      </c>
      <c r="D83" s="14">
        <v>8.9999999999999998E-4</v>
      </c>
      <c r="E83" s="8">
        <f t="shared" si="6"/>
        <v>9195.9614534687516</v>
      </c>
      <c r="F83" s="1">
        <f t="shared" si="7"/>
        <v>9196</v>
      </c>
      <c r="G83" s="1">
        <f t="shared" si="8"/>
        <v>-0.10623000000487082</v>
      </c>
      <c r="K83" s="1">
        <f t="shared" si="12"/>
        <v>-0.10623000000487082</v>
      </c>
      <c r="O83" s="1">
        <f t="shared" ca="1" si="11"/>
        <v>-0.10527546614861216</v>
      </c>
      <c r="Q83" s="44">
        <f t="shared" si="9"/>
        <v>40975.788209999999</v>
      </c>
    </row>
    <row r="84" spans="1:17">
      <c r="A84" s="18" t="s">
        <v>89</v>
      </c>
      <c r="B84" s="19" t="s">
        <v>46</v>
      </c>
      <c r="C84" s="14">
        <v>56246.44109</v>
      </c>
      <c r="D84" s="14">
        <v>8.0000000000000004E-4</v>
      </c>
      <c r="E84" s="8">
        <f t="shared" si="6"/>
        <v>9287.4574420604604</v>
      </c>
      <c r="F84" s="1">
        <f t="shared" si="7"/>
        <v>9287.5</v>
      </c>
      <c r="G84" s="1">
        <f t="shared" si="8"/>
        <v>-0.11728500000026543</v>
      </c>
      <c r="K84" s="1">
        <f t="shared" si="12"/>
        <v>-0.11728500000026543</v>
      </c>
      <c r="O84" s="1">
        <f t="shared" ca="1" si="11"/>
        <v>-0.10894283229769558</v>
      </c>
      <c r="Q84" s="44">
        <f t="shared" si="9"/>
        <v>41227.94109</v>
      </c>
    </row>
    <row r="85" spans="1:17">
      <c r="A85" s="18" t="s">
        <v>89</v>
      </c>
      <c r="B85" s="19" t="s">
        <v>46</v>
      </c>
      <c r="C85" s="14">
        <v>56246.448120000001</v>
      </c>
      <c r="D85" s="14">
        <v>8.0000000000000004E-4</v>
      </c>
      <c r="E85" s="8">
        <f t="shared" ref="E85:E92" si="13">+(C85-C$7)/C$8</f>
        <v>9287.459992960532</v>
      </c>
      <c r="F85" s="1">
        <f t="shared" ref="F85:F94" si="14">ROUND(2*E85,0)/2</f>
        <v>9287.5</v>
      </c>
      <c r="G85" s="1">
        <f t="shared" ref="G85:G91" si="15">+C85-(C$7+F85*C$8)</f>
        <v>-0.1102549999995972</v>
      </c>
      <c r="K85" s="1">
        <f t="shared" si="12"/>
        <v>-0.1102549999995972</v>
      </c>
      <c r="O85" s="1">
        <f t="shared" ca="1" si="11"/>
        <v>-0.10894283229769558</v>
      </c>
      <c r="Q85" s="44">
        <f t="shared" ref="Q85:Q92" si="16">+C85-15018.5</f>
        <v>41227.948120000001</v>
      </c>
    </row>
    <row r="86" spans="1:17">
      <c r="A86" s="18" t="s">
        <v>89</v>
      </c>
      <c r="B86" s="19" t="s">
        <v>46</v>
      </c>
      <c r="C86" s="14">
        <v>56246.449890000004</v>
      </c>
      <c r="D86" s="14">
        <v>5.9999999999999995E-4</v>
      </c>
      <c r="E86" s="8">
        <f t="shared" si="13"/>
        <v>9287.4606352212904</v>
      </c>
      <c r="F86" s="1">
        <f t="shared" si="14"/>
        <v>9287.5</v>
      </c>
      <c r="G86" s="1">
        <f t="shared" si="15"/>
        <v>-0.10848499999701744</v>
      </c>
      <c r="K86" s="1">
        <f t="shared" si="12"/>
        <v>-0.10848499999701744</v>
      </c>
      <c r="O86" s="1">
        <f t="shared" ca="1" si="11"/>
        <v>-0.10894283229769558</v>
      </c>
      <c r="Q86" s="44">
        <f t="shared" si="16"/>
        <v>41227.949890000004</v>
      </c>
    </row>
    <row r="87" spans="1:17">
      <c r="A87" s="4" t="s">
        <v>90</v>
      </c>
      <c r="B87" s="5" t="s">
        <v>44</v>
      </c>
      <c r="C87" s="6">
        <v>56617.106500000002</v>
      </c>
      <c r="D87" s="7"/>
      <c r="E87" s="8">
        <f t="shared" si="13"/>
        <v>9421.9567907282235</v>
      </c>
      <c r="F87" s="1">
        <f t="shared" si="14"/>
        <v>9422</v>
      </c>
      <c r="G87" s="1">
        <f t="shared" si="15"/>
        <v>-0.11907999999675667</v>
      </c>
      <c r="K87" s="1">
        <f t="shared" si="12"/>
        <v>-0.11907999999675667</v>
      </c>
      <c r="O87" s="1">
        <f t="shared" ca="1" si="11"/>
        <v>-0.11433366013432639</v>
      </c>
      <c r="Q87" s="44">
        <f t="shared" si="16"/>
        <v>41598.606500000002</v>
      </c>
    </row>
    <row r="88" spans="1:17">
      <c r="A88" s="14" t="s">
        <v>91</v>
      </c>
      <c r="B88" s="19" t="s">
        <v>46</v>
      </c>
      <c r="C88" s="22">
        <v>56654.309860000001</v>
      </c>
      <c r="D88" s="14">
        <v>6.9999999999999999E-4</v>
      </c>
      <c r="E88" s="8">
        <f t="shared" si="13"/>
        <v>9435.4563716258635</v>
      </c>
      <c r="F88" s="1">
        <f t="shared" si="14"/>
        <v>9435.5</v>
      </c>
      <c r="G88" s="1">
        <f t="shared" si="15"/>
        <v>-0.12023500000213971</v>
      </c>
      <c r="K88" s="1">
        <f t="shared" si="12"/>
        <v>-0.12023500000213971</v>
      </c>
      <c r="O88" s="1">
        <f t="shared" ca="1" si="11"/>
        <v>-0.11487474694320754</v>
      </c>
      <c r="Q88" s="44">
        <f t="shared" si="16"/>
        <v>41635.809860000001</v>
      </c>
    </row>
    <row r="89" spans="1:17">
      <c r="A89" s="14" t="s">
        <v>91</v>
      </c>
      <c r="B89" s="19" t="s">
        <v>46</v>
      </c>
      <c r="C89" s="22">
        <v>56654.311820000003</v>
      </c>
      <c r="D89" s="14">
        <v>2.9999999999999997E-4</v>
      </c>
      <c r="E89" s="8">
        <f t="shared" si="13"/>
        <v>9435.4570828298674</v>
      </c>
      <c r="F89" s="1">
        <f t="shared" si="14"/>
        <v>9435.5</v>
      </c>
      <c r="G89" s="1">
        <f t="shared" si="15"/>
        <v>-0.11827500000072177</v>
      </c>
      <c r="K89" s="1">
        <f t="shared" si="12"/>
        <v>-0.11827500000072177</v>
      </c>
      <c r="O89" s="1">
        <f t="shared" ca="1" si="11"/>
        <v>-0.11487474694320754</v>
      </c>
      <c r="Q89" s="44">
        <f t="shared" si="16"/>
        <v>41635.811820000003</v>
      </c>
    </row>
    <row r="90" spans="1:17">
      <c r="A90" s="14" t="s">
        <v>91</v>
      </c>
      <c r="B90" s="19" t="s">
        <v>46</v>
      </c>
      <c r="C90" s="22">
        <v>56654.312879999998</v>
      </c>
      <c r="D90" s="14">
        <v>5.0000000000000001E-4</v>
      </c>
      <c r="E90" s="8">
        <f t="shared" si="13"/>
        <v>9435.4574674606029</v>
      </c>
      <c r="F90" s="1">
        <f t="shared" si="14"/>
        <v>9435.5</v>
      </c>
      <c r="G90" s="1">
        <f t="shared" si="15"/>
        <v>-0.11721500000567175</v>
      </c>
      <c r="K90" s="1">
        <f t="shared" si="12"/>
        <v>-0.11721500000567175</v>
      </c>
      <c r="O90" s="1">
        <f t="shared" ca="1" si="11"/>
        <v>-0.11487474694320754</v>
      </c>
      <c r="Q90" s="44">
        <f t="shared" si="16"/>
        <v>41635.812879999998</v>
      </c>
    </row>
    <row r="91" spans="1:17">
      <c r="A91" s="23" t="s">
        <v>92</v>
      </c>
      <c r="B91" s="16" t="s">
        <v>44</v>
      </c>
      <c r="C91" s="14">
        <v>56654.3145</v>
      </c>
      <c r="D91" s="17">
        <v>1.84E-2</v>
      </c>
      <c r="E91" s="8">
        <f t="shared" si="13"/>
        <v>9435.4580552924836</v>
      </c>
      <c r="F91" s="1">
        <f t="shared" si="14"/>
        <v>9435.5</v>
      </c>
      <c r="G91" s="1">
        <f t="shared" si="15"/>
        <v>-0.11559500000294065</v>
      </c>
      <c r="K91" s="1">
        <f>G91</f>
        <v>-0.11559500000294065</v>
      </c>
      <c r="O91" s="1">
        <f t="shared" ca="1" si="11"/>
        <v>-0.11487474694320754</v>
      </c>
      <c r="Q91" s="44">
        <f t="shared" si="16"/>
        <v>41635.8145</v>
      </c>
    </row>
    <row r="92" spans="1:17">
      <c r="A92" s="24" t="s">
        <v>93</v>
      </c>
      <c r="B92" s="25" t="s">
        <v>46</v>
      </c>
      <c r="C92" s="26">
        <v>58079.095399999998</v>
      </c>
      <c r="D92" s="27" t="s">
        <v>94</v>
      </c>
      <c r="E92" s="8">
        <f t="shared" ref="E92:E94" si="17">+(C92-C$7)/C$8</f>
        <v>9952.452891806277</v>
      </c>
      <c r="F92" s="1">
        <f t="shared" ref="F92:F94" si="18">ROUND(2*E92,0)/2</f>
        <v>9952.5</v>
      </c>
      <c r="G92" s="1">
        <f t="shared" ref="G92:G94" si="19">+C92-(C$7+F92*C$8)</f>
        <v>-0.12982500000362052</v>
      </c>
      <c r="K92" s="1">
        <f>G92</f>
        <v>-0.12982500000362052</v>
      </c>
      <c r="O92" s="1">
        <f t="shared" ref="O92:O94" ca="1" si="20">+C$11+C$12*F92</f>
        <v>-0.13559636769813777</v>
      </c>
      <c r="Q92" s="44">
        <f t="shared" ref="Q92:Q94" si="21">+C92-15018.5</f>
        <v>43060.595399999998</v>
      </c>
    </row>
    <row r="93" spans="1:17">
      <c r="A93" s="28" t="s">
        <v>95</v>
      </c>
      <c r="B93" s="29" t="s">
        <v>44</v>
      </c>
      <c r="C93" s="30">
        <v>58149.372620000038</v>
      </c>
      <c r="D93" s="30">
        <v>1E-4</v>
      </c>
      <c r="E93" s="8">
        <f t="shared" si="17"/>
        <v>9977.9536265961415</v>
      </c>
      <c r="F93" s="1">
        <f t="shared" si="18"/>
        <v>9978</v>
      </c>
      <c r="G93" s="1">
        <f t="shared" si="19"/>
        <v>-0.12779999995836988</v>
      </c>
      <c r="K93" s="1">
        <f>G93</f>
        <v>-0.12779999995836988</v>
      </c>
      <c r="O93" s="1">
        <f t="shared" ca="1" si="20"/>
        <v>-0.13661842055935774</v>
      </c>
      <c r="Q93" s="44">
        <f t="shared" si="21"/>
        <v>43130.872620000038</v>
      </c>
    </row>
    <row r="94" spans="1:17">
      <c r="A94" s="28" t="s">
        <v>95</v>
      </c>
      <c r="B94" s="29" t="s">
        <v>44</v>
      </c>
      <c r="C94" s="30">
        <v>58149.373010000214</v>
      </c>
      <c r="D94" s="30">
        <v>2.0000000000000001E-4</v>
      </c>
      <c r="E94" s="8">
        <f t="shared" si="17"/>
        <v>9977.953768111287</v>
      </c>
      <c r="F94" s="1">
        <f t="shared" si="18"/>
        <v>9978</v>
      </c>
      <c r="G94" s="1">
        <f t="shared" si="19"/>
        <v>-0.12740999978268519</v>
      </c>
      <c r="K94" s="1">
        <f>G94</f>
        <v>-0.12740999978268519</v>
      </c>
      <c r="O94" s="1">
        <f t="shared" ca="1" si="20"/>
        <v>-0.13661842055935774</v>
      </c>
      <c r="Q94" s="44">
        <f t="shared" si="21"/>
        <v>43130.873010000214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opLeftCell="A34" workbookViewId="0">
      <selection activeCell="A52" sqref="A52"/>
    </sheetView>
  </sheetViews>
  <sheetFormatPr defaultRowHeight="12.75"/>
  <cols>
    <col min="1" max="1" width="19.7109375" style="9" customWidth="1"/>
    <col min="2" max="2" width="4.42578125" customWidth="1"/>
    <col min="3" max="3" width="12.7109375" style="9" customWidth="1"/>
    <col min="4" max="4" width="5.42578125" customWidth="1"/>
    <col min="5" max="5" width="14.85546875" customWidth="1"/>
    <col min="7" max="7" width="12" customWidth="1"/>
    <col min="8" max="8" width="14.140625" style="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31" t="s">
        <v>96</v>
      </c>
      <c r="I1" s="32" t="s">
        <v>97</v>
      </c>
      <c r="J1" s="33" t="s">
        <v>35</v>
      </c>
    </row>
    <row r="2" spans="1:16">
      <c r="I2" s="34" t="s">
        <v>98</v>
      </c>
      <c r="J2" s="35" t="s">
        <v>34</v>
      </c>
    </row>
    <row r="3" spans="1:16">
      <c r="A3" s="36" t="s">
        <v>99</v>
      </c>
      <c r="I3" s="34" t="s">
        <v>100</v>
      </c>
      <c r="J3" s="35" t="s">
        <v>32</v>
      </c>
    </row>
    <row r="4" spans="1:16">
      <c r="I4" s="34" t="s">
        <v>101</v>
      </c>
      <c r="J4" s="35" t="s">
        <v>32</v>
      </c>
    </row>
    <row r="5" spans="1:16">
      <c r="I5" s="37" t="s">
        <v>102</v>
      </c>
      <c r="J5" s="38" t="s">
        <v>33</v>
      </c>
    </row>
    <row r="11" spans="1:16" ht="12.75" customHeight="1">
      <c r="A11" s="9" t="str">
        <f t="shared" ref="A11:A42" si="0">P11</f>
        <v> IODE 4.3.34 </v>
      </c>
      <c r="B11" s="2" t="str">
        <f t="shared" ref="B11:B42" si="1">IF(H11=INT(H11),"I","II")</f>
        <v>I</v>
      </c>
      <c r="C11" s="9">
        <f t="shared" ref="C11:C42" si="2">1*G11</f>
        <v>30651.23</v>
      </c>
      <c r="D11" t="str">
        <f t="shared" ref="D11:D42" si="3">VLOOKUP(F11,I$1:J$5,2,FALSE)</f>
        <v>vis</v>
      </c>
      <c r="E11">
        <f>VLOOKUP(C11,Active!C$21:E$973,3,FALSE)</f>
        <v>0</v>
      </c>
      <c r="F11" s="2" t="s">
        <v>102</v>
      </c>
      <c r="G11" t="str">
        <f t="shared" ref="G11:G42" si="4">MID(I11,3,LEN(I11)-3)</f>
        <v>30651.230</v>
      </c>
      <c r="H11" s="9">
        <f t="shared" ref="H11:H42" si="5">1*K11</f>
        <v>0</v>
      </c>
      <c r="I11" s="39" t="s">
        <v>103</v>
      </c>
      <c r="J11" s="40" t="s">
        <v>104</v>
      </c>
      <c r="K11" s="39">
        <v>0</v>
      </c>
      <c r="L11" s="39" t="s">
        <v>105</v>
      </c>
      <c r="M11" s="40" t="s">
        <v>106</v>
      </c>
      <c r="N11" s="40"/>
      <c r="O11" s="41" t="s">
        <v>107</v>
      </c>
      <c r="P11" s="41" t="s">
        <v>48</v>
      </c>
    </row>
    <row r="12" spans="1:16" ht="12.75" customHeight="1">
      <c r="A12" s="9" t="str">
        <f t="shared" si="0"/>
        <v>BAVM 39 </v>
      </c>
      <c r="B12" s="2" t="str">
        <f t="shared" si="1"/>
        <v>I</v>
      </c>
      <c r="C12" s="9">
        <f t="shared" si="2"/>
        <v>46001.487999999998</v>
      </c>
      <c r="D12" t="str">
        <f t="shared" si="3"/>
        <v>vis</v>
      </c>
      <c r="E12">
        <f>VLOOKUP(C12,Active!C$21:E$973,3,FALSE)</f>
        <v>5569.9821110421672</v>
      </c>
      <c r="F12" s="2" t="s">
        <v>102</v>
      </c>
      <c r="G12" t="str">
        <f t="shared" si="4"/>
        <v>46001.488</v>
      </c>
      <c r="H12" s="9">
        <f t="shared" si="5"/>
        <v>5570</v>
      </c>
      <c r="I12" s="39" t="s">
        <v>108</v>
      </c>
      <c r="J12" s="40" t="s">
        <v>109</v>
      </c>
      <c r="K12" s="39">
        <v>5570</v>
      </c>
      <c r="L12" s="39" t="s">
        <v>110</v>
      </c>
      <c r="M12" s="40" t="s">
        <v>111</v>
      </c>
      <c r="N12" s="40"/>
      <c r="O12" s="41" t="s">
        <v>112</v>
      </c>
      <c r="P12" s="42" t="s">
        <v>113</v>
      </c>
    </row>
    <row r="13" spans="1:16" ht="12.75" customHeight="1">
      <c r="A13" s="9" t="str">
        <f t="shared" si="0"/>
        <v>BAVM 39 </v>
      </c>
      <c r="B13" s="2" t="str">
        <f t="shared" si="1"/>
        <v>I</v>
      </c>
      <c r="C13" s="9">
        <f t="shared" si="2"/>
        <v>46023.536999999997</v>
      </c>
      <c r="D13" t="str">
        <f t="shared" si="3"/>
        <v>vis</v>
      </c>
      <c r="E13">
        <f>VLOOKUP(C13,Active!C$21:E$973,3,FALSE)</f>
        <v>5577.9827932174348</v>
      </c>
      <c r="F13" s="2" t="s">
        <v>102</v>
      </c>
      <c r="G13" t="str">
        <f t="shared" si="4"/>
        <v>46023.537</v>
      </c>
      <c r="H13" s="9">
        <f t="shared" si="5"/>
        <v>5578</v>
      </c>
      <c r="I13" s="39" t="s">
        <v>114</v>
      </c>
      <c r="J13" s="40" t="s">
        <v>115</v>
      </c>
      <c r="K13" s="39">
        <v>5578</v>
      </c>
      <c r="L13" s="39" t="s">
        <v>116</v>
      </c>
      <c r="M13" s="40" t="s">
        <v>111</v>
      </c>
      <c r="N13" s="40"/>
      <c r="O13" s="41" t="s">
        <v>112</v>
      </c>
      <c r="P13" s="42" t="s">
        <v>113</v>
      </c>
    </row>
    <row r="14" spans="1:16" ht="12.75" customHeight="1">
      <c r="A14" s="9" t="str">
        <f t="shared" si="0"/>
        <v> VSSC 61.19 </v>
      </c>
      <c r="B14" s="2" t="str">
        <f t="shared" si="1"/>
        <v>I</v>
      </c>
      <c r="C14" s="9">
        <f t="shared" si="2"/>
        <v>46059.360000000001</v>
      </c>
      <c r="D14" t="str">
        <f t="shared" si="3"/>
        <v>vis</v>
      </c>
      <c r="E14">
        <f>VLOOKUP(C14,Active!C$21:E$973,3,FALSE)</f>
        <v>5590.9814978101449</v>
      </c>
      <c r="F14" s="2" t="s">
        <v>102</v>
      </c>
      <c r="G14" t="str">
        <f t="shared" si="4"/>
        <v>46059.360</v>
      </c>
      <c r="H14" s="9">
        <f t="shared" si="5"/>
        <v>5591</v>
      </c>
      <c r="I14" s="39" t="s">
        <v>117</v>
      </c>
      <c r="J14" s="40" t="s">
        <v>118</v>
      </c>
      <c r="K14" s="39">
        <v>5591</v>
      </c>
      <c r="L14" s="39" t="s">
        <v>119</v>
      </c>
      <c r="M14" s="40" t="s">
        <v>106</v>
      </c>
      <c r="N14" s="40"/>
      <c r="O14" s="41" t="s">
        <v>120</v>
      </c>
      <c r="P14" s="41" t="s">
        <v>121</v>
      </c>
    </row>
    <row r="15" spans="1:16" ht="12.75" customHeight="1">
      <c r="A15" s="9" t="str">
        <f t="shared" si="0"/>
        <v>BAVM 46 </v>
      </c>
      <c r="B15" s="2" t="str">
        <f t="shared" si="1"/>
        <v>I</v>
      </c>
      <c r="C15" s="9">
        <f t="shared" si="2"/>
        <v>46770.375999999997</v>
      </c>
      <c r="D15" t="str">
        <f t="shared" si="3"/>
        <v>vis</v>
      </c>
      <c r="E15">
        <f>VLOOKUP(C15,Active!C$21:E$973,3,FALSE)</f>
        <v>5848.9801842598936</v>
      </c>
      <c r="F15" s="2" t="s">
        <v>102</v>
      </c>
      <c r="G15" t="str">
        <f t="shared" si="4"/>
        <v>46770.376</v>
      </c>
      <c r="H15" s="9">
        <f t="shared" si="5"/>
        <v>5849</v>
      </c>
      <c r="I15" s="39" t="s">
        <v>122</v>
      </c>
      <c r="J15" s="40" t="s">
        <v>123</v>
      </c>
      <c r="K15" s="39">
        <v>5849</v>
      </c>
      <c r="L15" s="39" t="s">
        <v>124</v>
      </c>
      <c r="M15" s="40" t="s">
        <v>111</v>
      </c>
      <c r="N15" s="40"/>
      <c r="O15" s="41" t="s">
        <v>112</v>
      </c>
      <c r="P15" s="42" t="s">
        <v>125</v>
      </c>
    </row>
    <row r="16" spans="1:16" ht="12.75" customHeight="1">
      <c r="A16" s="9" t="str">
        <f t="shared" si="0"/>
        <v> BBS 112 </v>
      </c>
      <c r="B16" s="2" t="str">
        <f t="shared" si="1"/>
        <v>I</v>
      </c>
      <c r="C16" s="9">
        <f t="shared" si="2"/>
        <v>50008.508999999998</v>
      </c>
      <c r="D16" t="str">
        <f t="shared" si="3"/>
        <v>vis</v>
      </c>
      <c r="E16">
        <f>VLOOKUP(C16,Active!C$21:E$973,3,FALSE)</f>
        <v>7023.9664863256512</v>
      </c>
      <c r="F16" s="2" t="s">
        <v>102</v>
      </c>
      <c r="G16" t="str">
        <f t="shared" si="4"/>
        <v>50008.509</v>
      </c>
      <c r="H16" s="9">
        <f t="shared" si="5"/>
        <v>7024</v>
      </c>
      <c r="I16" s="39" t="s">
        <v>126</v>
      </c>
      <c r="J16" s="40" t="s">
        <v>127</v>
      </c>
      <c r="K16" s="39">
        <v>7024</v>
      </c>
      <c r="L16" s="39" t="s">
        <v>128</v>
      </c>
      <c r="M16" s="40" t="s">
        <v>129</v>
      </c>
      <c r="N16" s="40" t="s">
        <v>130</v>
      </c>
      <c r="O16" s="41" t="s">
        <v>131</v>
      </c>
      <c r="P16" s="41" t="s">
        <v>132</v>
      </c>
    </row>
    <row r="17" spans="1:16" ht="12.75" customHeight="1">
      <c r="A17" s="9" t="str">
        <f t="shared" si="0"/>
        <v>IBVS 5067 </v>
      </c>
      <c r="B17" s="2" t="str">
        <f t="shared" si="1"/>
        <v>II</v>
      </c>
      <c r="C17" s="9">
        <f t="shared" si="2"/>
        <v>51919.724600000001</v>
      </c>
      <c r="D17" t="str">
        <f t="shared" si="3"/>
        <v>vis</v>
      </c>
      <c r="E17">
        <f>VLOOKUP(C17,Active!C$21:E$973,3,FALSE)</f>
        <v>7717.4686217519575</v>
      </c>
      <c r="F17" s="2" t="s">
        <v>102</v>
      </c>
      <c r="G17" t="str">
        <f t="shared" si="4"/>
        <v>51919.7246</v>
      </c>
      <c r="H17" s="9">
        <f t="shared" si="5"/>
        <v>7717.5</v>
      </c>
      <c r="I17" s="39" t="s">
        <v>133</v>
      </c>
      <c r="J17" s="40" t="s">
        <v>134</v>
      </c>
      <c r="K17" s="39">
        <v>7717.5</v>
      </c>
      <c r="L17" s="39" t="s">
        <v>135</v>
      </c>
      <c r="M17" s="40" t="s">
        <v>129</v>
      </c>
      <c r="N17" s="40" t="s">
        <v>130</v>
      </c>
      <c r="O17" s="41" t="s">
        <v>136</v>
      </c>
      <c r="P17" s="42" t="s">
        <v>137</v>
      </c>
    </row>
    <row r="18" spans="1:16" ht="12.75" customHeight="1">
      <c r="A18" s="9" t="str">
        <f t="shared" si="0"/>
        <v>IBVS 5067 </v>
      </c>
      <c r="B18" s="2" t="str">
        <f t="shared" si="1"/>
        <v>II</v>
      </c>
      <c r="C18" s="9">
        <f t="shared" si="2"/>
        <v>51966.5772</v>
      </c>
      <c r="D18" t="str">
        <f t="shared" si="3"/>
        <v>vis</v>
      </c>
      <c r="E18">
        <f>VLOOKUP(C18,Active!C$21:E$973,3,FALSE)</f>
        <v>7734.4695180141443</v>
      </c>
      <c r="F18" s="2" t="s">
        <v>102</v>
      </c>
      <c r="G18" t="str">
        <f t="shared" si="4"/>
        <v>51966.5772</v>
      </c>
      <c r="H18" s="9">
        <f t="shared" si="5"/>
        <v>7734.5</v>
      </c>
      <c r="I18" s="39" t="s">
        <v>138</v>
      </c>
      <c r="J18" s="40" t="s">
        <v>139</v>
      </c>
      <c r="K18" s="39">
        <v>7734.5</v>
      </c>
      <c r="L18" s="39" t="s">
        <v>140</v>
      </c>
      <c r="M18" s="40" t="s">
        <v>129</v>
      </c>
      <c r="N18" s="40" t="s">
        <v>130</v>
      </c>
      <c r="O18" s="41" t="s">
        <v>136</v>
      </c>
      <c r="P18" s="42" t="s">
        <v>137</v>
      </c>
    </row>
    <row r="19" spans="1:16" ht="12.75" customHeight="1">
      <c r="A19" s="9" t="str">
        <f t="shared" si="0"/>
        <v>IBVS 5251 </v>
      </c>
      <c r="B19" s="2" t="str">
        <f t="shared" si="1"/>
        <v>II</v>
      </c>
      <c r="C19" s="9">
        <f t="shared" si="2"/>
        <v>52178.779600000002</v>
      </c>
      <c r="D19" t="str">
        <f t="shared" si="3"/>
        <v>vis</v>
      </c>
      <c r="E19">
        <f>VLOOKUP(C19,Active!C$21:E$973,3,FALSE)</f>
        <v>7811.4691079832655</v>
      </c>
      <c r="F19" s="2" t="s">
        <v>102</v>
      </c>
      <c r="G19" t="str">
        <f t="shared" si="4"/>
        <v>52178.7796</v>
      </c>
      <c r="H19" s="9">
        <f t="shared" si="5"/>
        <v>7811.5</v>
      </c>
      <c r="I19" s="39" t="s">
        <v>141</v>
      </c>
      <c r="J19" s="40" t="s">
        <v>142</v>
      </c>
      <c r="K19" s="39">
        <v>7811.5</v>
      </c>
      <c r="L19" s="39" t="s">
        <v>143</v>
      </c>
      <c r="M19" s="40" t="s">
        <v>129</v>
      </c>
      <c r="N19" s="40" t="s">
        <v>144</v>
      </c>
      <c r="O19" s="41" t="s">
        <v>145</v>
      </c>
      <c r="P19" s="42" t="s">
        <v>146</v>
      </c>
    </row>
    <row r="20" spans="1:16" ht="12.75" customHeight="1">
      <c r="A20" s="9" t="str">
        <f t="shared" si="0"/>
        <v>IBVS 5649 </v>
      </c>
      <c r="B20" s="2" t="str">
        <f t="shared" si="1"/>
        <v>II</v>
      </c>
      <c r="C20" s="9">
        <f t="shared" si="2"/>
        <v>52972.4836</v>
      </c>
      <c r="D20" t="str">
        <f t="shared" si="3"/>
        <v>vis</v>
      </c>
      <c r="E20">
        <f>VLOOKUP(C20,Active!C$21:E$973,3,FALSE)</f>
        <v>8099.4718947418078</v>
      </c>
      <c r="F20" s="2" t="s">
        <v>102</v>
      </c>
      <c r="G20" t="str">
        <f t="shared" si="4"/>
        <v>52972.4836</v>
      </c>
      <c r="H20" s="9">
        <f t="shared" si="5"/>
        <v>8099.5</v>
      </c>
      <c r="I20" s="39" t="s">
        <v>147</v>
      </c>
      <c r="J20" s="40" t="s">
        <v>148</v>
      </c>
      <c r="K20" s="39">
        <v>8099.5</v>
      </c>
      <c r="L20" s="39" t="s">
        <v>149</v>
      </c>
      <c r="M20" s="40" t="s">
        <v>129</v>
      </c>
      <c r="N20" s="40" t="s">
        <v>130</v>
      </c>
      <c r="O20" s="41" t="s">
        <v>150</v>
      </c>
      <c r="P20" s="42" t="s">
        <v>151</v>
      </c>
    </row>
    <row r="21" spans="1:16" ht="12.75" customHeight="1">
      <c r="A21" s="9" t="str">
        <f t="shared" si="0"/>
        <v>IBVS 5649 </v>
      </c>
      <c r="B21" s="2" t="str">
        <f t="shared" si="1"/>
        <v>I</v>
      </c>
      <c r="C21" s="9">
        <f t="shared" si="2"/>
        <v>52979.372799999997</v>
      </c>
      <c r="D21" t="str">
        <f t="shared" si="3"/>
        <v>vis</v>
      </c>
      <c r="E21">
        <f>VLOOKUP(C21,Active!C$21:E$973,3,FALSE)</f>
        <v>8101.9717042407347</v>
      </c>
      <c r="F21" s="2" t="s">
        <v>102</v>
      </c>
      <c r="G21" t="str">
        <f t="shared" si="4"/>
        <v>52979.3728</v>
      </c>
      <c r="H21" s="9">
        <f t="shared" si="5"/>
        <v>8102</v>
      </c>
      <c r="I21" s="39" t="s">
        <v>152</v>
      </c>
      <c r="J21" s="40" t="s">
        <v>153</v>
      </c>
      <c r="K21" s="39">
        <v>8102</v>
      </c>
      <c r="L21" s="39" t="s">
        <v>154</v>
      </c>
      <c r="M21" s="40" t="s">
        <v>129</v>
      </c>
      <c r="N21" s="40" t="s">
        <v>130</v>
      </c>
      <c r="O21" s="41" t="s">
        <v>150</v>
      </c>
      <c r="P21" s="42" t="s">
        <v>151</v>
      </c>
    </row>
    <row r="22" spans="1:16" ht="12.75" customHeight="1">
      <c r="A22" s="9" t="str">
        <f t="shared" si="0"/>
        <v>IBVS 5649 </v>
      </c>
      <c r="B22" s="2" t="str">
        <f t="shared" si="1"/>
        <v>II</v>
      </c>
      <c r="C22" s="9">
        <f t="shared" si="2"/>
        <v>53311.461499999998</v>
      </c>
      <c r="D22" t="str">
        <f t="shared" si="3"/>
        <v>vis</v>
      </c>
      <c r="E22">
        <f>VLOOKUP(C22,Active!C$21:E$973,3,FALSE)</f>
        <v>8222.4731393488128</v>
      </c>
      <c r="F22" s="2" t="s">
        <v>102</v>
      </c>
      <c r="G22" t="str">
        <f t="shared" si="4"/>
        <v>53311.4615</v>
      </c>
      <c r="H22" s="9">
        <f t="shared" si="5"/>
        <v>8222.5</v>
      </c>
      <c r="I22" s="39" t="s">
        <v>155</v>
      </c>
      <c r="J22" s="40" t="s">
        <v>156</v>
      </c>
      <c r="K22" s="39">
        <v>8222.5</v>
      </c>
      <c r="L22" s="39" t="s">
        <v>157</v>
      </c>
      <c r="M22" s="40" t="s">
        <v>129</v>
      </c>
      <c r="N22" s="40" t="s">
        <v>130</v>
      </c>
      <c r="O22" s="41" t="s">
        <v>150</v>
      </c>
      <c r="P22" s="42" t="s">
        <v>151</v>
      </c>
    </row>
    <row r="23" spans="1:16" ht="12.75" customHeight="1">
      <c r="A23" s="9" t="str">
        <f t="shared" si="0"/>
        <v>IBVS 5670 </v>
      </c>
      <c r="B23" s="2" t="str">
        <f t="shared" si="1"/>
        <v>II</v>
      </c>
      <c r="C23" s="9">
        <f t="shared" si="2"/>
        <v>53341.777900000001</v>
      </c>
      <c r="D23" t="str">
        <f t="shared" si="3"/>
        <v>vis</v>
      </c>
      <c r="E23">
        <f>VLOOKUP(C23,Active!C$21:E$973,3,FALSE)</f>
        <v>8233.4737235521025</v>
      </c>
      <c r="F23" s="2" t="s">
        <v>102</v>
      </c>
      <c r="G23" t="str">
        <f t="shared" si="4"/>
        <v>53341.7779</v>
      </c>
      <c r="H23" s="9">
        <f t="shared" si="5"/>
        <v>8233.5</v>
      </c>
      <c r="I23" s="39" t="s">
        <v>158</v>
      </c>
      <c r="J23" s="40" t="s">
        <v>159</v>
      </c>
      <c r="K23" s="39">
        <v>8233.5</v>
      </c>
      <c r="L23" s="39" t="s">
        <v>160</v>
      </c>
      <c r="M23" s="40" t="s">
        <v>129</v>
      </c>
      <c r="N23" s="40" t="s">
        <v>130</v>
      </c>
      <c r="O23" s="41" t="s">
        <v>161</v>
      </c>
      <c r="P23" s="42" t="s">
        <v>162</v>
      </c>
    </row>
    <row r="24" spans="1:16" ht="12.75" customHeight="1">
      <c r="A24" s="9" t="str">
        <f t="shared" si="0"/>
        <v>IBVS 5670 </v>
      </c>
      <c r="B24" s="2" t="str">
        <f t="shared" si="1"/>
        <v>II</v>
      </c>
      <c r="C24" s="9">
        <f t="shared" si="2"/>
        <v>53366.585099999997</v>
      </c>
      <c r="D24" t="str">
        <f t="shared" si="3"/>
        <v>vis</v>
      </c>
      <c r="E24">
        <f>VLOOKUP(C24,Active!C$21:E$973,3,FALSE)</f>
        <v>8242.4752439320855</v>
      </c>
      <c r="F24" s="2" t="s">
        <v>102</v>
      </c>
      <c r="G24" t="str">
        <f t="shared" si="4"/>
        <v>53366.5851</v>
      </c>
      <c r="H24" s="9">
        <f t="shared" si="5"/>
        <v>8242.5</v>
      </c>
      <c r="I24" s="39" t="s">
        <v>163</v>
      </c>
      <c r="J24" s="40" t="s">
        <v>164</v>
      </c>
      <c r="K24" s="39">
        <v>8242.5</v>
      </c>
      <c r="L24" s="39" t="s">
        <v>165</v>
      </c>
      <c r="M24" s="40" t="s">
        <v>129</v>
      </c>
      <c r="N24" s="40" t="s">
        <v>130</v>
      </c>
      <c r="O24" s="41" t="s">
        <v>161</v>
      </c>
      <c r="P24" s="42" t="s">
        <v>162</v>
      </c>
    </row>
    <row r="25" spans="1:16" ht="12.75" customHeight="1">
      <c r="A25" s="9" t="str">
        <f t="shared" si="0"/>
        <v>IBVS 5670 </v>
      </c>
      <c r="B25" s="2" t="str">
        <f t="shared" si="1"/>
        <v>II</v>
      </c>
      <c r="C25" s="9">
        <f t="shared" si="2"/>
        <v>53377.608999999997</v>
      </c>
      <c r="D25" t="str">
        <f t="shared" si="3"/>
        <v>vis</v>
      </c>
      <c r="E25">
        <f>VLOOKUP(C25,Active!C$21:E$973,3,FALSE)</f>
        <v>8246.4753673042087</v>
      </c>
      <c r="F25" s="2" t="s">
        <v>102</v>
      </c>
      <c r="G25" t="str">
        <f t="shared" si="4"/>
        <v>53377.6090</v>
      </c>
      <c r="H25" s="9">
        <f t="shared" si="5"/>
        <v>8246.5</v>
      </c>
      <c r="I25" s="39" t="s">
        <v>166</v>
      </c>
      <c r="J25" s="40" t="s">
        <v>167</v>
      </c>
      <c r="K25" s="39">
        <v>8246.5</v>
      </c>
      <c r="L25" s="39" t="s">
        <v>168</v>
      </c>
      <c r="M25" s="40" t="s">
        <v>129</v>
      </c>
      <c r="N25" s="40" t="s">
        <v>130</v>
      </c>
      <c r="O25" s="41" t="s">
        <v>161</v>
      </c>
      <c r="P25" s="42" t="s">
        <v>162</v>
      </c>
    </row>
    <row r="26" spans="1:16" ht="12.75" customHeight="1">
      <c r="A26" s="9" t="str">
        <f t="shared" si="0"/>
        <v>IBVS 5670 </v>
      </c>
      <c r="B26" s="2" t="str">
        <f t="shared" si="1"/>
        <v>II</v>
      </c>
      <c r="C26" s="9">
        <f t="shared" si="2"/>
        <v>53399.655700000003</v>
      </c>
      <c r="D26" t="str">
        <f t="shared" si="3"/>
        <v>vis</v>
      </c>
      <c r="E26">
        <f>VLOOKUP(C26,Active!C$21:E$973,3,FALSE)</f>
        <v>8254.4752149033538</v>
      </c>
      <c r="F26" s="2" t="s">
        <v>102</v>
      </c>
      <c r="G26" t="str">
        <f t="shared" si="4"/>
        <v>53399.6557</v>
      </c>
      <c r="H26" s="9">
        <f t="shared" si="5"/>
        <v>8254.5</v>
      </c>
      <c r="I26" s="39" t="s">
        <v>169</v>
      </c>
      <c r="J26" s="40" t="s">
        <v>170</v>
      </c>
      <c r="K26" s="39">
        <v>8254.5</v>
      </c>
      <c r="L26" s="39" t="s">
        <v>171</v>
      </c>
      <c r="M26" s="40" t="s">
        <v>129</v>
      </c>
      <c r="N26" s="40" t="s">
        <v>130</v>
      </c>
      <c r="O26" s="41" t="s">
        <v>161</v>
      </c>
      <c r="P26" s="42" t="s">
        <v>162</v>
      </c>
    </row>
    <row r="27" spans="1:16" ht="12.75" customHeight="1">
      <c r="A27" s="9" t="str">
        <f t="shared" si="0"/>
        <v>BAVM 173 </v>
      </c>
      <c r="B27" s="2" t="str">
        <f t="shared" si="1"/>
        <v>I</v>
      </c>
      <c r="C27" s="9">
        <f t="shared" si="2"/>
        <v>53409.299400000004</v>
      </c>
      <c r="D27" t="str">
        <f t="shared" si="3"/>
        <v>vis</v>
      </c>
      <c r="E27">
        <f>VLOOKUP(C27,Active!C$21:E$973,3,FALSE)</f>
        <v>8257.974520028014</v>
      </c>
      <c r="F27" s="2" t="s">
        <v>102</v>
      </c>
      <c r="G27" t="str">
        <f t="shared" si="4"/>
        <v>53409.2994</v>
      </c>
      <c r="H27" s="9">
        <f t="shared" si="5"/>
        <v>8258</v>
      </c>
      <c r="I27" s="39" t="s">
        <v>172</v>
      </c>
      <c r="J27" s="40" t="s">
        <v>173</v>
      </c>
      <c r="K27" s="39">
        <v>8258</v>
      </c>
      <c r="L27" s="39" t="s">
        <v>174</v>
      </c>
      <c r="M27" s="40" t="s">
        <v>129</v>
      </c>
      <c r="N27" s="40" t="s">
        <v>175</v>
      </c>
      <c r="O27" s="41" t="s">
        <v>176</v>
      </c>
      <c r="P27" s="42" t="s">
        <v>177</v>
      </c>
    </row>
    <row r="28" spans="1:16" ht="12.75" customHeight="1">
      <c r="A28" s="9" t="str">
        <f t="shared" si="0"/>
        <v>BAVM 178 </v>
      </c>
      <c r="B28" s="2" t="str">
        <f t="shared" si="1"/>
        <v>II</v>
      </c>
      <c r="C28" s="9">
        <f t="shared" si="2"/>
        <v>53683.512699999999</v>
      </c>
      <c r="D28" t="str">
        <f t="shared" si="3"/>
        <v>vis</v>
      </c>
      <c r="E28">
        <f>VLOOKUP(C28,Active!C$21:E$973,3,FALSE)</f>
        <v>8357.4753346468842</v>
      </c>
      <c r="F28" s="2" t="s">
        <v>102</v>
      </c>
      <c r="G28" t="str">
        <f t="shared" si="4"/>
        <v>53683.5127</v>
      </c>
      <c r="H28" s="9">
        <f t="shared" si="5"/>
        <v>8357.5</v>
      </c>
      <c r="I28" s="39" t="s">
        <v>178</v>
      </c>
      <c r="J28" s="40" t="s">
        <v>179</v>
      </c>
      <c r="K28" s="39" t="s">
        <v>180</v>
      </c>
      <c r="L28" s="39" t="s">
        <v>181</v>
      </c>
      <c r="M28" s="40" t="s">
        <v>182</v>
      </c>
      <c r="N28" s="40" t="s">
        <v>175</v>
      </c>
      <c r="O28" s="41" t="s">
        <v>183</v>
      </c>
      <c r="P28" s="42" t="s">
        <v>184</v>
      </c>
    </row>
    <row r="29" spans="1:16" ht="12.75" customHeight="1">
      <c r="A29" s="9" t="str">
        <f t="shared" si="0"/>
        <v>IBVS 5670 </v>
      </c>
      <c r="B29" s="2" t="str">
        <f t="shared" si="1"/>
        <v>I</v>
      </c>
      <c r="C29" s="9">
        <f t="shared" si="2"/>
        <v>53684.8897</v>
      </c>
      <c r="D29" t="str">
        <f t="shared" si="3"/>
        <v>vis</v>
      </c>
      <c r="E29">
        <f>VLOOKUP(C29,Active!C$21:E$973,3,FALSE)</f>
        <v>8357.9749917449535</v>
      </c>
      <c r="F29" s="2" t="s">
        <v>102</v>
      </c>
      <c r="G29" t="str">
        <f t="shared" si="4"/>
        <v>53684.8897</v>
      </c>
      <c r="H29" s="9">
        <f t="shared" si="5"/>
        <v>8358</v>
      </c>
      <c r="I29" s="39" t="s">
        <v>185</v>
      </c>
      <c r="J29" s="40" t="s">
        <v>186</v>
      </c>
      <c r="K29" s="39" t="s">
        <v>187</v>
      </c>
      <c r="L29" s="39" t="s">
        <v>188</v>
      </c>
      <c r="M29" s="40" t="s">
        <v>129</v>
      </c>
      <c r="N29" s="40" t="s">
        <v>130</v>
      </c>
      <c r="O29" s="41" t="s">
        <v>161</v>
      </c>
      <c r="P29" s="42" t="s">
        <v>162</v>
      </c>
    </row>
    <row r="30" spans="1:16" ht="12.75" customHeight="1">
      <c r="A30" s="9" t="str">
        <f t="shared" si="0"/>
        <v>IBVS 5670 </v>
      </c>
      <c r="B30" s="2" t="str">
        <f t="shared" si="1"/>
        <v>II</v>
      </c>
      <c r="C30" s="9">
        <f t="shared" si="2"/>
        <v>53727.608699999997</v>
      </c>
      <c r="D30" t="str">
        <f t="shared" si="3"/>
        <v>vis</v>
      </c>
      <c r="E30">
        <f>VLOOKUP(C30,Active!C$21:E$973,3,FALSE)</f>
        <v>8373.475973279048</v>
      </c>
      <c r="F30" s="2" t="s">
        <v>102</v>
      </c>
      <c r="G30" t="str">
        <f t="shared" si="4"/>
        <v>53727.6087</v>
      </c>
      <c r="H30" s="9">
        <f t="shared" si="5"/>
        <v>8373.5</v>
      </c>
      <c r="I30" s="39" t="s">
        <v>189</v>
      </c>
      <c r="J30" s="40" t="s">
        <v>190</v>
      </c>
      <c r="K30" s="39" t="s">
        <v>191</v>
      </c>
      <c r="L30" s="39" t="s">
        <v>192</v>
      </c>
      <c r="M30" s="40" t="s">
        <v>129</v>
      </c>
      <c r="N30" s="40" t="s">
        <v>130</v>
      </c>
      <c r="O30" s="41" t="s">
        <v>161</v>
      </c>
      <c r="P30" s="42" t="s">
        <v>162</v>
      </c>
    </row>
    <row r="31" spans="1:16" ht="12.75" customHeight="1">
      <c r="A31" s="9" t="str">
        <f t="shared" si="0"/>
        <v>IBVS 5764 </v>
      </c>
      <c r="B31" s="2" t="str">
        <f t="shared" si="1"/>
        <v>II</v>
      </c>
      <c r="C31" s="9">
        <f t="shared" si="2"/>
        <v>53738.633800000003</v>
      </c>
      <c r="D31" t="str">
        <f t="shared" si="3"/>
        <v>vis</v>
      </c>
      <c r="E31">
        <f>VLOOKUP(C31,Active!C$21:E$973,3,FALSE)</f>
        <v>8377.4765320821971</v>
      </c>
      <c r="F31" s="2" t="s">
        <v>102</v>
      </c>
      <c r="G31" t="str">
        <f t="shared" si="4"/>
        <v>53738.6338</v>
      </c>
      <c r="H31" s="9">
        <f t="shared" si="5"/>
        <v>8377.5</v>
      </c>
      <c r="I31" s="39" t="s">
        <v>193</v>
      </c>
      <c r="J31" s="40" t="s">
        <v>194</v>
      </c>
      <c r="K31" s="39" t="s">
        <v>195</v>
      </c>
      <c r="L31" s="39" t="s">
        <v>196</v>
      </c>
      <c r="M31" s="40" t="s">
        <v>182</v>
      </c>
      <c r="N31" s="40" t="s">
        <v>102</v>
      </c>
      <c r="O31" s="41" t="s">
        <v>161</v>
      </c>
      <c r="P31" s="42" t="s">
        <v>197</v>
      </c>
    </row>
    <row r="32" spans="1:16" ht="12.75" customHeight="1">
      <c r="A32" s="9" t="str">
        <f t="shared" si="0"/>
        <v>IBVS 5764 </v>
      </c>
      <c r="B32" s="2" t="str">
        <f t="shared" si="1"/>
        <v>I</v>
      </c>
      <c r="C32" s="9">
        <f t="shared" si="2"/>
        <v>53742.762699999999</v>
      </c>
      <c r="D32" t="str">
        <f t="shared" si="3"/>
        <v>vis</v>
      </c>
      <c r="E32">
        <f>VLOOKUP(C32,Active!C$21:E$973,3,FALSE)</f>
        <v>8378.9747413721161</v>
      </c>
      <c r="F32" s="2" t="s">
        <v>102</v>
      </c>
      <c r="G32" t="str">
        <f t="shared" si="4"/>
        <v>53742.7627</v>
      </c>
      <c r="H32" s="9">
        <f t="shared" si="5"/>
        <v>8379</v>
      </c>
      <c r="I32" s="39" t="s">
        <v>198</v>
      </c>
      <c r="J32" s="40" t="s">
        <v>199</v>
      </c>
      <c r="K32" s="39" t="s">
        <v>200</v>
      </c>
      <c r="L32" s="39" t="s">
        <v>201</v>
      </c>
      <c r="M32" s="40" t="s">
        <v>182</v>
      </c>
      <c r="N32" s="40" t="s">
        <v>102</v>
      </c>
      <c r="O32" s="41" t="s">
        <v>161</v>
      </c>
      <c r="P32" s="42" t="s">
        <v>197</v>
      </c>
    </row>
    <row r="33" spans="1:16" ht="12.75" customHeight="1">
      <c r="A33" s="9" t="str">
        <f t="shared" si="0"/>
        <v>IBVS 5764 </v>
      </c>
      <c r="B33" s="2" t="str">
        <f t="shared" si="1"/>
        <v>II</v>
      </c>
      <c r="C33" s="9">
        <f t="shared" si="2"/>
        <v>53749.654799999997</v>
      </c>
      <c r="D33" t="str">
        <f t="shared" si="3"/>
        <v>vis</v>
      </c>
      <c r="E33">
        <f>VLOOKUP(C33,Active!C$21:E$973,3,FALSE)</f>
        <v>8381.4756031626803</v>
      </c>
      <c r="F33" s="2" t="s">
        <v>102</v>
      </c>
      <c r="G33" t="str">
        <f t="shared" si="4"/>
        <v>53749.6548</v>
      </c>
      <c r="H33" s="9">
        <f t="shared" si="5"/>
        <v>8381.5</v>
      </c>
      <c r="I33" s="39" t="s">
        <v>202</v>
      </c>
      <c r="J33" s="40" t="s">
        <v>203</v>
      </c>
      <c r="K33" s="39" t="s">
        <v>204</v>
      </c>
      <c r="L33" s="39" t="s">
        <v>205</v>
      </c>
      <c r="M33" s="40" t="s">
        <v>182</v>
      </c>
      <c r="N33" s="40" t="s">
        <v>102</v>
      </c>
      <c r="O33" s="41" t="s">
        <v>161</v>
      </c>
      <c r="P33" s="42" t="s">
        <v>197</v>
      </c>
    </row>
    <row r="34" spans="1:16" ht="12.75" customHeight="1">
      <c r="A34" s="9" t="str">
        <f t="shared" si="0"/>
        <v>IBVS 5764 </v>
      </c>
      <c r="B34" s="2" t="str">
        <f t="shared" si="1"/>
        <v>I</v>
      </c>
      <c r="C34" s="9">
        <f t="shared" si="2"/>
        <v>53753.785799999998</v>
      </c>
      <c r="D34" t="str">
        <f t="shared" si="3"/>
        <v>vis</v>
      </c>
      <c r="E34">
        <f>VLOOKUP(C34,Active!C$21:E$973,3,FALSE)</f>
        <v>8382.97457445689</v>
      </c>
      <c r="F34" s="2" t="s">
        <v>102</v>
      </c>
      <c r="G34" t="str">
        <f t="shared" si="4"/>
        <v>53753.7858</v>
      </c>
      <c r="H34" s="9">
        <f t="shared" si="5"/>
        <v>8383</v>
      </c>
      <c r="I34" s="39" t="s">
        <v>206</v>
      </c>
      <c r="J34" s="40" t="s">
        <v>207</v>
      </c>
      <c r="K34" s="39" t="s">
        <v>208</v>
      </c>
      <c r="L34" s="39" t="s">
        <v>209</v>
      </c>
      <c r="M34" s="40" t="s">
        <v>182</v>
      </c>
      <c r="N34" s="40" t="s">
        <v>102</v>
      </c>
      <c r="O34" s="41" t="s">
        <v>161</v>
      </c>
      <c r="P34" s="42" t="s">
        <v>197</v>
      </c>
    </row>
    <row r="35" spans="1:16" ht="12.75" customHeight="1">
      <c r="A35" s="9" t="str">
        <f t="shared" si="0"/>
        <v>IBVS 5764 </v>
      </c>
      <c r="B35" s="2" t="str">
        <f t="shared" si="1"/>
        <v>II</v>
      </c>
      <c r="C35" s="9">
        <f t="shared" si="2"/>
        <v>54041.767500000002</v>
      </c>
      <c r="D35" t="str">
        <f t="shared" si="3"/>
        <v>vis</v>
      </c>
      <c r="E35">
        <f>VLOOKUP(C35,Active!C$21:E$973,3,FALSE)</f>
        <v>8487.4713794817653</v>
      </c>
      <c r="F35" s="2" t="s">
        <v>102</v>
      </c>
      <c r="G35" t="str">
        <f t="shared" si="4"/>
        <v>54041.7675</v>
      </c>
      <c r="H35" s="9">
        <f t="shared" si="5"/>
        <v>8487.5</v>
      </c>
      <c r="I35" s="39" t="s">
        <v>210</v>
      </c>
      <c r="J35" s="40" t="s">
        <v>211</v>
      </c>
      <c r="K35" s="39" t="s">
        <v>212</v>
      </c>
      <c r="L35" s="39" t="s">
        <v>213</v>
      </c>
      <c r="M35" s="40" t="s">
        <v>182</v>
      </c>
      <c r="N35" s="40" t="s">
        <v>102</v>
      </c>
      <c r="O35" s="41" t="s">
        <v>161</v>
      </c>
      <c r="P35" s="42" t="s">
        <v>197</v>
      </c>
    </row>
    <row r="36" spans="1:16" ht="12.75" customHeight="1">
      <c r="A36" s="9" t="str">
        <f t="shared" si="0"/>
        <v>IBVS 5764 </v>
      </c>
      <c r="B36" s="2" t="str">
        <f t="shared" si="1"/>
        <v>II</v>
      </c>
      <c r="C36" s="9">
        <f t="shared" si="2"/>
        <v>54041.770499999999</v>
      </c>
      <c r="D36" t="str">
        <f t="shared" si="3"/>
        <v>vis</v>
      </c>
      <c r="E36">
        <f>VLOOKUP(C36,Active!C$21:E$973,3,FALSE)</f>
        <v>8487.4724680593208</v>
      </c>
      <c r="F36" s="2" t="s">
        <v>102</v>
      </c>
      <c r="G36" t="str">
        <f t="shared" si="4"/>
        <v>54041.7705</v>
      </c>
      <c r="H36" s="9">
        <f t="shared" si="5"/>
        <v>8487.5</v>
      </c>
      <c r="I36" s="39" t="s">
        <v>214</v>
      </c>
      <c r="J36" s="40" t="s">
        <v>215</v>
      </c>
      <c r="K36" s="39" t="s">
        <v>212</v>
      </c>
      <c r="L36" s="39" t="s">
        <v>216</v>
      </c>
      <c r="M36" s="40" t="s">
        <v>182</v>
      </c>
      <c r="N36" s="40" t="s">
        <v>102</v>
      </c>
      <c r="O36" s="41" t="s">
        <v>161</v>
      </c>
      <c r="P36" s="42" t="s">
        <v>197</v>
      </c>
    </row>
    <row r="37" spans="1:16" ht="12.75" customHeight="1">
      <c r="A37" s="9" t="str">
        <f t="shared" si="0"/>
        <v> JAAVSO 41;122 </v>
      </c>
      <c r="B37" s="2" t="str">
        <f t="shared" si="1"/>
        <v>I</v>
      </c>
      <c r="C37" s="9">
        <f t="shared" si="2"/>
        <v>54070.704299999998</v>
      </c>
      <c r="D37" t="str">
        <f t="shared" si="3"/>
        <v>vis</v>
      </c>
      <c r="E37">
        <f>VLOOKUP(C37,Active!C$21:E$973,3,FALSE)</f>
        <v>8497.9713631531013</v>
      </c>
      <c r="F37" s="2" t="s">
        <v>102</v>
      </c>
      <c r="G37" t="str">
        <f t="shared" si="4"/>
        <v>54070.7043</v>
      </c>
      <c r="H37" s="9">
        <f t="shared" si="5"/>
        <v>8498</v>
      </c>
      <c r="I37" s="39" t="s">
        <v>217</v>
      </c>
      <c r="J37" s="40" t="s">
        <v>218</v>
      </c>
      <c r="K37" s="39" t="s">
        <v>219</v>
      </c>
      <c r="L37" s="39" t="s">
        <v>213</v>
      </c>
      <c r="M37" s="40" t="s">
        <v>182</v>
      </c>
      <c r="N37" s="40" t="s">
        <v>102</v>
      </c>
      <c r="O37" s="41" t="s">
        <v>220</v>
      </c>
      <c r="P37" s="41" t="s">
        <v>221</v>
      </c>
    </row>
    <row r="38" spans="1:16" ht="12.75" customHeight="1">
      <c r="A38" s="9" t="str">
        <f t="shared" si="0"/>
        <v>BAVM 183 </v>
      </c>
      <c r="B38" s="2" t="str">
        <f t="shared" si="1"/>
        <v>I</v>
      </c>
      <c r="C38" s="9">
        <f t="shared" si="2"/>
        <v>54084.485999999997</v>
      </c>
      <c r="D38" t="str">
        <f t="shared" si="3"/>
        <v>vis</v>
      </c>
      <c r="E38">
        <f>VLOOKUP(C38,Active!C$21:E$973,3,FALSE)</f>
        <v>8502.9721795862679</v>
      </c>
      <c r="F38" s="2" t="s">
        <v>102</v>
      </c>
      <c r="G38" t="str">
        <f t="shared" si="4"/>
        <v>54084.4860</v>
      </c>
      <c r="H38" s="9">
        <f t="shared" si="5"/>
        <v>8503</v>
      </c>
      <c r="I38" s="39" t="s">
        <v>222</v>
      </c>
      <c r="J38" s="40" t="s">
        <v>223</v>
      </c>
      <c r="K38" s="39" t="s">
        <v>224</v>
      </c>
      <c r="L38" s="39" t="s">
        <v>225</v>
      </c>
      <c r="M38" s="40" t="s">
        <v>182</v>
      </c>
      <c r="N38" s="40" t="s">
        <v>175</v>
      </c>
      <c r="O38" s="41" t="s">
        <v>183</v>
      </c>
      <c r="P38" s="42" t="s">
        <v>226</v>
      </c>
    </row>
    <row r="39" spans="1:16" ht="12.75" customHeight="1">
      <c r="A39" s="9" t="str">
        <f t="shared" si="0"/>
        <v>IBVS 5764 </v>
      </c>
      <c r="B39" s="2" t="str">
        <f t="shared" si="1"/>
        <v>II</v>
      </c>
      <c r="C39" s="9">
        <f t="shared" si="2"/>
        <v>54085.8649</v>
      </c>
      <c r="D39" t="str">
        <f t="shared" si="3"/>
        <v>vis</v>
      </c>
      <c r="E39">
        <f>VLOOKUP(C39,Active!C$21:E$973,3,FALSE)</f>
        <v>8503.4725261167896</v>
      </c>
      <c r="F39" s="2" t="s">
        <v>102</v>
      </c>
      <c r="G39" t="str">
        <f t="shared" si="4"/>
        <v>54085.8649</v>
      </c>
      <c r="H39" s="9">
        <f t="shared" si="5"/>
        <v>8503.5</v>
      </c>
      <c r="I39" s="39" t="s">
        <v>227</v>
      </c>
      <c r="J39" s="40" t="s">
        <v>228</v>
      </c>
      <c r="K39" s="39" t="s">
        <v>229</v>
      </c>
      <c r="L39" s="39" t="s">
        <v>230</v>
      </c>
      <c r="M39" s="40" t="s">
        <v>182</v>
      </c>
      <c r="N39" s="40" t="s">
        <v>102</v>
      </c>
      <c r="O39" s="41" t="s">
        <v>161</v>
      </c>
      <c r="P39" s="42" t="s">
        <v>197</v>
      </c>
    </row>
    <row r="40" spans="1:16" ht="12.75" customHeight="1">
      <c r="A40" s="9" t="str">
        <f t="shared" si="0"/>
        <v>IBVS 5910 </v>
      </c>
      <c r="B40" s="2" t="str">
        <f t="shared" si="1"/>
        <v>I</v>
      </c>
      <c r="C40" s="9">
        <f t="shared" si="2"/>
        <v>54384.870999999999</v>
      </c>
      <c r="D40" t="str">
        <f t="shared" si="3"/>
        <v>vis</v>
      </c>
      <c r="E40">
        <f>VLOOKUP(C40,Active!C$21:E$973,3,FALSE)</f>
        <v>8611.9696359433801</v>
      </c>
      <c r="F40" s="2" t="s">
        <v>102</v>
      </c>
      <c r="G40" t="str">
        <f t="shared" si="4"/>
        <v>54384.8710</v>
      </c>
      <c r="H40" s="9">
        <f t="shared" si="5"/>
        <v>8612</v>
      </c>
      <c r="I40" s="39" t="s">
        <v>231</v>
      </c>
      <c r="J40" s="40" t="s">
        <v>232</v>
      </c>
      <c r="K40" s="39" t="s">
        <v>233</v>
      </c>
      <c r="L40" s="39" t="s">
        <v>234</v>
      </c>
      <c r="M40" s="40" t="s">
        <v>182</v>
      </c>
      <c r="N40" s="40" t="s">
        <v>102</v>
      </c>
      <c r="O40" s="41" t="s">
        <v>161</v>
      </c>
      <c r="P40" s="42" t="s">
        <v>235</v>
      </c>
    </row>
    <row r="41" spans="1:16" ht="12.75" customHeight="1">
      <c r="A41" s="9" t="str">
        <f t="shared" si="0"/>
        <v>IBVS 5910 </v>
      </c>
      <c r="B41" s="2" t="str">
        <f t="shared" si="1"/>
        <v>I</v>
      </c>
      <c r="C41" s="9">
        <f t="shared" si="2"/>
        <v>54406.920599999998</v>
      </c>
      <c r="D41" t="str">
        <f t="shared" si="3"/>
        <v>vis</v>
      </c>
      <c r="E41">
        <f>VLOOKUP(C41,Active!C$21:E$973,3,FALSE)</f>
        <v>8619.970535834158</v>
      </c>
      <c r="F41" s="2" t="s">
        <v>102</v>
      </c>
      <c r="G41" t="str">
        <f t="shared" si="4"/>
        <v>54406.9206</v>
      </c>
      <c r="H41" s="9">
        <f t="shared" si="5"/>
        <v>8620</v>
      </c>
      <c r="I41" s="39" t="s">
        <v>236</v>
      </c>
      <c r="J41" s="40" t="s">
        <v>237</v>
      </c>
      <c r="K41" s="39" t="s">
        <v>238</v>
      </c>
      <c r="L41" s="39" t="s">
        <v>239</v>
      </c>
      <c r="M41" s="40" t="s">
        <v>182</v>
      </c>
      <c r="N41" s="40" t="s">
        <v>102</v>
      </c>
      <c r="O41" s="41" t="s">
        <v>161</v>
      </c>
      <c r="P41" s="42" t="s">
        <v>235</v>
      </c>
    </row>
    <row r="42" spans="1:16" ht="12.75" customHeight="1">
      <c r="A42" s="9" t="str">
        <f t="shared" si="0"/>
        <v>IBVS 5910 </v>
      </c>
      <c r="B42" s="2" t="str">
        <f t="shared" si="1"/>
        <v>I</v>
      </c>
      <c r="C42" s="9">
        <f t="shared" si="2"/>
        <v>54734.861499999999</v>
      </c>
      <c r="D42" t="str">
        <f t="shared" si="3"/>
        <v>vis</v>
      </c>
      <c r="E42">
        <f>VLOOKUP(C42,Active!C$21:E$973,3,FALSE)</f>
        <v>8738.9669036137147</v>
      </c>
      <c r="F42" s="2" t="s">
        <v>102</v>
      </c>
      <c r="G42" t="str">
        <f t="shared" si="4"/>
        <v>54734.8615</v>
      </c>
      <c r="H42" s="9">
        <f t="shared" si="5"/>
        <v>8739</v>
      </c>
      <c r="I42" s="39" t="s">
        <v>240</v>
      </c>
      <c r="J42" s="40" t="s">
        <v>241</v>
      </c>
      <c r="K42" s="39" t="s">
        <v>242</v>
      </c>
      <c r="L42" s="39" t="s">
        <v>243</v>
      </c>
      <c r="M42" s="40" t="s">
        <v>182</v>
      </c>
      <c r="N42" s="40" t="s">
        <v>102</v>
      </c>
      <c r="O42" s="41" t="s">
        <v>161</v>
      </c>
      <c r="P42" s="42" t="s">
        <v>235</v>
      </c>
    </row>
    <row r="43" spans="1:16" ht="12.75" customHeight="1">
      <c r="A43" s="9" t="str">
        <f t="shared" ref="A43:A75" si="6">P43</f>
        <v>BAVM 209 </v>
      </c>
      <c r="B43" s="2" t="str">
        <f t="shared" ref="B43:B75" si="7">IF(H43=INT(H43),"I","II")</f>
        <v>I</v>
      </c>
      <c r="C43" s="9">
        <f t="shared" ref="C43:C75" si="8">1*G43</f>
        <v>54842.339699999997</v>
      </c>
      <c r="D43" t="str">
        <f t="shared" ref="D43:D75" si="9">VLOOKUP(F43,I$1:J$5,2,FALSE)</f>
        <v>vis</v>
      </c>
      <c r="E43">
        <f>VLOOKUP(C43,Active!C$21:E$973,3,FALSE)</f>
        <v>8777.9663556963442</v>
      </c>
      <c r="F43" s="2" t="s">
        <v>102</v>
      </c>
      <c r="G43" t="str">
        <f t="shared" ref="G43:G75" si="10">MID(I43,3,LEN(I43)-3)</f>
        <v>54842.3397</v>
      </c>
      <c r="H43" s="9">
        <f t="shared" ref="H43:H75" si="11">1*K43</f>
        <v>8778</v>
      </c>
      <c r="I43" s="39" t="s">
        <v>244</v>
      </c>
      <c r="J43" s="40" t="s">
        <v>245</v>
      </c>
      <c r="K43" s="39" t="s">
        <v>246</v>
      </c>
      <c r="L43" s="39" t="s">
        <v>247</v>
      </c>
      <c r="M43" s="40" t="s">
        <v>182</v>
      </c>
      <c r="N43" s="40" t="s">
        <v>175</v>
      </c>
      <c r="O43" s="41" t="s">
        <v>248</v>
      </c>
      <c r="P43" s="42" t="s">
        <v>249</v>
      </c>
    </row>
    <row r="44" spans="1:16" ht="12.75" customHeight="1">
      <c r="A44" s="9" t="str">
        <f t="shared" si="6"/>
        <v>IBVS 5992 </v>
      </c>
      <c r="B44" s="2" t="str">
        <f t="shared" si="7"/>
        <v>I</v>
      </c>
      <c r="C44" s="9">
        <f t="shared" si="8"/>
        <v>55572.6417</v>
      </c>
      <c r="D44" t="str">
        <f t="shared" si="9"/>
        <v>vis</v>
      </c>
      <c r="E44">
        <f>VLOOKUP(C44,Active!C$21:E$973,3,FALSE)</f>
        <v>9042.9631443925555</v>
      </c>
      <c r="F44" s="2" t="s">
        <v>102</v>
      </c>
      <c r="G44" t="str">
        <f t="shared" si="10"/>
        <v>55572.6417</v>
      </c>
      <c r="H44" s="9">
        <f t="shared" si="11"/>
        <v>9043</v>
      </c>
      <c r="I44" s="39" t="s">
        <v>250</v>
      </c>
      <c r="J44" s="40" t="s">
        <v>251</v>
      </c>
      <c r="K44" s="39" t="s">
        <v>252</v>
      </c>
      <c r="L44" s="39" t="s">
        <v>253</v>
      </c>
      <c r="M44" s="40" t="s">
        <v>182</v>
      </c>
      <c r="N44" s="40" t="s">
        <v>102</v>
      </c>
      <c r="O44" s="41" t="s">
        <v>254</v>
      </c>
      <c r="P44" s="42" t="s">
        <v>255</v>
      </c>
    </row>
    <row r="45" spans="1:16" ht="12.75" customHeight="1">
      <c r="A45" s="9" t="str">
        <f t="shared" si="6"/>
        <v>IBVS 6011 </v>
      </c>
      <c r="B45" s="2" t="str">
        <f t="shared" si="7"/>
        <v>II</v>
      </c>
      <c r="C45" s="9">
        <f t="shared" si="8"/>
        <v>55868.893199999999</v>
      </c>
      <c r="D45" t="str">
        <f t="shared" si="9"/>
        <v>vis</v>
      </c>
      <c r="E45">
        <f>VLOOKUP(C45,Active!C$21:E$973,3,FALSE)</f>
        <v>9150.4607223074945</v>
      </c>
      <c r="F45" s="2" t="s">
        <v>102</v>
      </c>
      <c r="G45" t="str">
        <f t="shared" si="10"/>
        <v>55868.8932</v>
      </c>
      <c r="H45" s="9">
        <f t="shared" si="11"/>
        <v>9150.5</v>
      </c>
      <c r="I45" s="39" t="s">
        <v>256</v>
      </c>
      <c r="J45" s="40" t="s">
        <v>257</v>
      </c>
      <c r="K45" s="39" t="s">
        <v>258</v>
      </c>
      <c r="L45" s="39" t="s">
        <v>259</v>
      </c>
      <c r="M45" s="40" t="s">
        <v>182</v>
      </c>
      <c r="N45" s="40" t="s">
        <v>102</v>
      </c>
      <c r="O45" s="41" t="s">
        <v>254</v>
      </c>
      <c r="P45" s="42" t="s">
        <v>260</v>
      </c>
    </row>
    <row r="46" spans="1:16" ht="12.75" customHeight="1">
      <c r="A46" s="9" t="str">
        <f t="shared" si="6"/>
        <v>OEJV 0160 </v>
      </c>
      <c r="B46" s="2" t="str">
        <f t="shared" si="7"/>
        <v>I</v>
      </c>
      <c r="C46" s="9">
        <f t="shared" si="8"/>
        <v>55994.288110000001</v>
      </c>
      <c r="D46" t="str">
        <f t="shared" si="9"/>
        <v>vis</v>
      </c>
      <c r="E46">
        <f>VLOOKUP(C46,Active!C$21:E$973,3,FALSE)</f>
        <v>9195.9614171828343</v>
      </c>
      <c r="F46" s="2" t="s">
        <v>102</v>
      </c>
      <c r="G46" t="str">
        <f t="shared" si="10"/>
        <v>55994.28811</v>
      </c>
      <c r="H46" s="9">
        <f t="shared" si="11"/>
        <v>9196</v>
      </c>
      <c r="I46" s="39" t="s">
        <v>261</v>
      </c>
      <c r="J46" s="40" t="s">
        <v>262</v>
      </c>
      <c r="K46" s="39" t="s">
        <v>263</v>
      </c>
      <c r="L46" s="39" t="s">
        <v>264</v>
      </c>
      <c r="M46" s="40" t="s">
        <v>182</v>
      </c>
      <c r="N46" s="40" t="s">
        <v>265</v>
      </c>
      <c r="O46" s="41" t="s">
        <v>266</v>
      </c>
      <c r="P46" s="42" t="s">
        <v>267</v>
      </c>
    </row>
    <row r="47" spans="1:16" ht="12.75" customHeight="1">
      <c r="A47" s="9" t="str">
        <f t="shared" si="6"/>
        <v>OEJV 0160 </v>
      </c>
      <c r="B47" s="2" t="str">
        <f t="shared" si="7"/>
        <v>I</v>
      </c>
      <c r="C47" s="9">
        <f t="shared" si="8"/>
        <v>55994.288209999999</v>
      </c>
      <c r="D47" t="str">
        <f t="shared" si="9"/>
        <v>vis</v>
      </c>
      <c r="E47">
        <f>VLOOKUP(C47,Active!C$21:E$973,3,FALSE)</f>
        <v>9195.9614534687516</v>
      </c>
      <c r="F47" s="2" t="s">
        <v>102</v>
      </c>
      <c r="G47" t="str">
        <f t="shared" si="10"/>
        <v>55994.28821</v>
      </c>
      <c r="H47" s="9">
        <f t="shared" si="11"/>
        <v>9196</v>
      </c>
      <c r="I47" s="39" t="s">
        <v>268</v>
      </c>
      <c r="J47" s="40" t="s">
        <v>269</v>
      </c>
      <c r="K47" s="39" t="s">
        <v>263</v>
      </c>
      <c r="L47" s="39" t="s">
        <v>270</v>
      </c>
      <c r="M47" s="40" t="s">
        <v>182</v>
      </c>
      <c r="N47" s="40" t="s">
        <v>44</v>
      </c>
      <c r="O47" s="41" t="s">
        <v>266</v>
      </c>
      <c r="P47" s="42" t="s">
        <v>267</v>
      </c>
    </row>
    <row r="48" spans="1:16" ht="12.75" customHeight="1">
      <c r="A48" s="9" t="str">
        <f t="shared" si="6"/>
        <v>OEJV 0160 </v>
      </c>
      <c r="B48" s="2" t="str">
        <f t="shared" si="7"/>
        <v>II</v>
      </c>
      <c r="C48" s="9">
        <f t="shared" si="8"/>
        <v>56246.44109</v>
      </c>
      <c r="D48" t="str">
        <f t="shared" si="9"/>
        <v>vis</v>
      </c>
      <c r="E48">
        <f>VLOOKUP(C48,Active!C$21:E$973,3,FALSE)</f>
        <v>9287.4574420604604</v>
      </c>
      <c r="F48" s="2" t="s">
        <v>102</v>
      </c>
      <c r="G48" t="str">
        <f t="shared" si="10"/>
        <v>56246.44109</v>
      </c>
      <c r="H48" s="9">
        <f t="shared" si="11"/>
        <v>9287.5</v>
      </c>
      <c r="I48" s="39" t="s">
        <v>271</v>
      </c>
      <c r="J48" s="40" t="s">
        <v>272</v>
      </c>
      <c r="K48" s="39" t="s">
        <v>273</v>
      </c>
      <c r="L48" s="39" t="s">
        <v>274</v>
      </c>
      <c r="M48" s="40" t="s">
        <v>182</v>
      </c>
      <c r="N48" s="40" t="s">
        <v>102</v>
      </c>
      <c r="O48" s="41" t="s">
        <v>266</v>
      </c>
      <c r="P48" s="42" t="s">
        <v>267</v>
      </c>
    </row>
    <row r="49" spans="1:16" ht="12.75" customHeight="1">
      <c r="A49" s="9" t="str">
        <f t="shared" si="6"/>
        <v>OEJV 0160 </v>
      </c>
      <c r="B49" s="2" t="str">
        <f t="shared" si="7"/>
        <v>II</v>
      </c>
      <c r="C49" s="9">
        <f t="shared" si="8"/>
        <v>56246.448120000001</v>
      </c>
      <c r="D49" t="str">
        <f t="shared" si="9"/>
        <v>vis</v>
      </c>
      <c r="E49">
        <f>VLOOKUP(C49,Active!C$21:E$973,3,FALSE)</f>
        <v>9287.459992960532</v>
      </c>
      <c r="F49" s="2" t="s">
        <v>102</v>
      </c>
      <c r="G49" t="str">
        <f t="shared" si="10"/>
        <v>56246.44812</v>
      </c>
      <c r="H49" s="9">
        <f t="shared" si="11"/>
        <v>9287.5</v>
      </c>
      <c r="I49" s="39" t="s">
        <v>275</v>
      </c>
      <c r="J49" s="40" t="s">
        <v>276</v>
      </c>
      <c r="K49" s="39" t="s">
        <v>273</v>
      </c>
      <c r="L49" s="39" t="s">
        <v>277</v>
      </c>
      <c r="M49" s="40" t="s">
        <v>182</v>
      </c>
      <c r="N49" s="40" t="s">
        <v>44</v>
      </c>
      <c r="O49" s="41" t="s">
        <v>266</v>
      </c>
      <c r="P49" s="42" t="s">
        <v>267</v>
      </c>
    </row>
    <row r="50" spans="1:16" ht="12.75" customHeight="1">
      <c r="A50" s="9" t="str">
        <f t="shared" si="6"/>
        <v>OEJV 0160 </v>
      </c>
      <c r="B50" s="2" t="str">
        <f t="shared" si="7"/>
        <v>II</v>
      </c>
      <c r="C50" s="9">
        <f t="shared" si="8"/>
        <v>56246.449890000004</v>
      </c>
      <c r="D50" t="str">
        <f t="shared" si="9"/>
        <v>vis</v>
      </c>
      <c r="E50">
        <f>VLOOKUP(C50,Active!C$21:E$973,3,FALSE)</f>
        <v>9287.4606352212904</v>
      </c>
      <c r="F50" s="2" t="s">
        <v>102</v>
      </c>
      <c r="G50" t="str">
        <f t="shared" si="10"/>
        <v>56246.44989</v>
      </c>
      <c r="H50" s="9">
        <f t="shared" si="11"/>
        <v>9287.5</v>
      </c>
      <c r="I50" s="39" t="s">
        <v>278</v>
      </c>
      <c r="J50" s="40" t="s">
        <v>279</v>
      </c>
      <c r="K50" s="39" t="s">
        <v>273</v>
      </c>
      <c r="L50" s="39" t="s">
        <v>280</v>
      </c>
      <c r="M50" s="40" t="s">
        <v>182</v>
      </c>
      <c r="N50" s="40" t="s">
        <v>265</v>
      </c>
      <c r="O50" s="41" t="s">
        <v>266</v>
      </c>
      <c r="P50" s="42" t="s">
        <v>267</v>
      </c>
    </row>
    <row r="51" spans="1:16" ht="12.75" customHeight="1">
      <c r="A51" s="9" t="str">
        <f t="shared" si="6"/>
        <v>BAVM 234 </v>
      </c>
      <c r="B51" s="2" t="str">
        <f t="shared" si="7"/>
        <v>II</v>
      </c>
      <c r="C51" s="9">
        <f t="shared" si="8"/>
        <v>56654.3145</v>
      </c>
      <c r="D51" t="str">
        <f t="shared" si="9"/>
        <v>vis</v>
      </c>
      <c r="E51">
        <f>VLOOKUP(C51,Active!C$21:E$973,3,FALSE)</f>
        <v>9435.4580552924836</v>
      </c>
      <c r="F51" s="2" t="s">
        <v>102</v>
      </c>
      <c r="G51" t="str">
        <f t="shared" si="10"/>
        <v>56654.3145</v>
      </c>
      <c r="H51" s="9">
        <f t="shared" si="11"/>
        <v>9435.5</v>
      </c>
      <c r="I51" s="39" t="s">
        <v>281</v>
      </c>
      <c r="J51" s="40" t="s">
        <v>282</v>
      </c>
      <c r="K51" s="39" t="s">
        <v>283</v>
      </c>
      <c r="L51" s="39" t="s">
        <v>284</v>
      </c>
      <c r="M51" s="40" t="s">
        <v>182</v>
      </c>
      <c r="N51" s="43" t="s">
        <v>175</v>
      </c>
      <c r="O51" s="41" t="s">
        <v>183</v>
      </c>
      <c r="P51" s="42" t="s">
        <v>285</v>
      </c>
    </row>
    <row r="52" spans="1:16" ht="12.75" customHeight="1">
      <c r="A52" s="9" t="str">
        <f t="shared" si="6"/>
        <v> AN 252.393 </v>
      </c>
      <c r="B52" s="2" t="str">
        <f t="shared" si="7"/>
        <v>I</v>
      </c>
      <c r="C52" s="9">
        <f t="shared" si="8"/>
        <v>26382.364000000001</v>
      </c>
      <c r="D52" t="str">
        <f t="shared" si="9"/>
        <v>vis</v>
      </c>
      <c r="E52">
        <f>VLOOKUP(C52,Active!C$21:E$973,3,FALSE)</f>
        <v>-1548.9972386415998</v>
      </c>
      <c r="F52" s="2" t="s">
        <v>102</v>
      </c>
      <c r="G52" t="str">
        <f t="shared" si="10"/>
        <v>26382.364</v>
      </c>
      <c r="H52" s="9">
        <f t="shared" si="11"/>
        <v>-1549</v>
      </c>
      <c r="I52" s="39" t="s">
        <v>286</v>
      </c>
      <c r="J52" s="40" t="s">
        <v>287</v>
      </c>
      <c r="K52" s="39">
        <v>-1549</v>
      </c>
      <c r="L52" s="39" t="s">
        <v>288</v>
      </c>
      <c r="M52" s="40" t="s">
        <v>289</v>
      </c>
      <c r="N52" s="40"/>
      <c r="O52" s="41" t="s">
        <v>290</v>
      </c>
      <c r="P52" s="41" t="s">
        <v>43</v>
      </c>
    </row>
    <row r="53" spans="1:16" ht="12.75" customHeight="1">
      <c r="A53" s="9" t="str">
        <f t="shared" si="6"/>
        <v> AA 26.344 </v>
      </c>
      <c r="B53" s="2" t="str">
        <f t="shared" si="7"/>
        <v>I</v>
      </c>
      <c r="C53" s="9">
        <f t="shared" si="8"/>
        <v>27713.505000000001</v>
      </c>
      <c r="D53" t="str">
        <f t="shared" si="9"/>
        <v>vis</v>
      </c>
      <c r="E53">
        <f>VLOOKUP(C53,Active!C$21:E$973,3,FALSE)</f>
        <v>-1065.9804999473849</v>
      </c>
      <c r="F53" s="2" t="s">
        <v>102</v>
      </c>
      <c r="G53" t="str">
        <f t="shared" si="10"/>
        <v>27713.505</v>
      </c>
      <c r="H53" s="9">
        <f t="shared" si="11"/>
        <v>-1066</v>
      </c>
      <c r="I53" s="39" t="s">
        <v>291</v>
      </c>
      <c r="J53" s="40" t="s">
        <v>292</v>
      </c>
      <c r="K53" s="39">
        <v>-1066</v>
      </c>
      <c r="L53" s="39" t="s">
        <v>293</v>
      </c>
      <c r="M53" s="40" t="s">
        <v>106</v>
      </c>
      <c r="N53" s="40"/>
      <c r="O53" s="41" t="s">
        <v>294</v>
      </c>
      <c r="P53" s="41" t="s">
        <v>45</v>
      </c>
    </row>
    <row r="54" spans="1:16" ht="12.75" customHeight="1">
      <c r="A54" s="9" t="str">
        <f t="shared" si="6"/>
        <v> AA 26.344 </v>
      </c>
      <c r="B54" s="2" t="str">
        <f t="shared" si="7"/>
        <v>II</v>
      </c>
      <c r="C54" s="9">
        <f t="shared" si="8"/>
        <v>27731.445</v>
      </c>
      <c r="D54" t="str">
        <f t="shared" si="9"/>
        <v>vis</v>
      </c>
      <c r="E54">
        <f>VLOOKUP(C54,Active!C$21:E$973,3,FALSE)</f>
        <v>-1059.4708061642518</v>
      </c>
      <c r="F54" s="2" t="s">
        <v>102</v>
      </c>
      <c r="G54" t="str">
        <f t="shared" si="10"/>
        <v>27731.445</v>
      </c>
      <c r="H54" s="9">
        <f t="shared" si="11"/>
        <v>-1059.5</v>
      </c>
      <c r="I54" s="39" t="s">
        <v>295</v>
      </c>
      <c r="J54" s="40" t="s">
        <v>296</v>
      </c>
      <c r="K54" s="39">
        <v>-1059.5</v>
      </c>
      <c r="L54" s="39" t="s">
        <v>297</v>
      </c>
      <c r="M54" s="40" t="s">
        <v>106</v>
      </c>
      <c r="N54" s="40"/>
      <c r="O54" s="41" t="s">
        <v>294</v>
      </c>
      <c r="P54" s="41" t="s">
        <v>45</v>
      </c>
    </row>
    <row r="55" spans="1:16" ht="12.75" customHeight="1">
      <c r="A55" s="9" t="str">
        <f t="shared" si="6"/>
        <v> IODE 4.3.34 </v>
      </c>
      <c r="B55" s="2" t="str">
        <f t="shared" si="7"/>
        <v>I</v>
      </c>
      <c r="C55" s="9">
        <f t="shared" si="8"/>
        <v>31001.226999999999</v>
      </c>
      <c r="D55" t="str">
        <f t="shared" si="9"/>
        <v>vis</v>
      </c>
      <c r="E55">
        <f>VLOOKUP(C55,Active!C$21:E$973,3,FALSE)</f>
        <v>126.99962625503899</v>
      </c>
      <c r="F55" s="2" t="s">
        <v>102</v>
      </c>
      <c r="G55" t="str">
        <f t="shared" si="10"/>
        <v>31001.227</v>
      </c>
      <c r="H55" s="9">
        <f t="shared" si="11"/>
        <v>127</v>
      </c>
      <c r="I55" s="39" t="s">
        <v>298</v>
      </c>
      <c r="J55" s="40" t="s">
        <v>299</v>
      </c>
      <c r="K55" s="39">
        <v>127</v>
      </c>
      <c r="L55" s="39" t="s">
        <v>300</v>
      </c>
      <c r="M55" s="40" t="s">
        <v>106</v>
      </c>
      <c r="N55" s="40"/>
      <c r="O55" s="41" t="s">
        <v>107</v>
      </c>
      <c r="P55" s="41" t="s">
        <v>48</v>
      </c>
    </row>
    <row r="56" spans="1:16" ht="12.75" customHeight="1">
      <c r="A56" s="9" t="str">
        <f t="shared" si="6"/>
        <v> IODE 4.3.34 </v>
      </c>
      <c r="B56" s="2" t="str">
        <f t="shared" si="7"/>
        <v>I</v>
      </c>
      <c r="C56" s="9">
        <f t="shared" si="8"/>
        <v>31150.046999999999</v>
      </c>
      <c r="D56" t="str">
        <f t="shared" si="9"/>
        <v>vis</v>
      </c>
      <c r="E56">
        <f>VLOOKUP(C56,Active!C$21:E$973,3,FALSE)</f>
        <v>181.00033020185825</v>
      </c>
      <c r="F56" s="2" t="s">
        <v>102</v>
      </c>
      <c r="G56" t="str">
        <f t="shared" si="10"/>
        <v>31150.047</v>
      </c>
      <c r="H56" s="9">
        <f t="shared" si="11"/>
        <v>181</v>
      </c>
      <c r="I56" s="39" t="s">
        <v>301</v>
      </c>
      <c r="J56" s="40" t="s">
        <v>302</v>
      </c>
      <c r="K56" s="39">
        <v>181</v>
      </c>
      <c r="L56" s="39" t="s">
        <v>303</v>
      </c>
      <c r="M56" s="40" t="s">
        <v>106</v>
      </c>
      <c r="N56" s="40"/>
      <c r="O56" s="41" t="s">
        <v>107</v>
      </c>
      <c r="P56" s="41" t="s">
        <v>48</v>
      </c>
    </row>
    <row r="57" spans="1:16" ht="12.75" customHeight="1">
      <c r="A57" s="9" t="str">
        <f t="shared" si="6"/>
        <v> SAC 22.88 </v>
      </c>
      <c r="B57" s="2" t="str">
        <f t="shared" si="7"/>
        <v>I</v>
      </c>
      <c r="C57" s="9">
        <f t="shared" si="8"/>
        <v>32894.519999999997</v>
      </c>
      <c r="D57" t="str">
        <f t="shared" si="9"/>
        <v>vis</v>
      </c>
      <c r="E57">
        <f>VLOOKUP(C57,Active!C$21:E$973,3,FALSE)</f>
        <v>813.99838164803282</v>
      </c>
      <c r="F57" s="2" t="s">
        <v>102</v>
      </c>
      <c r="G57" t="str">
        <f t="shared" si="10"/>
        <v>32894.520</v>
      </c>
      <c r="H57" s="9">
        <f t="shared" si="11"/>
        <v>814</v>
      </c>
      <c r="I57" s="39" t="s">
        <v>304</v>
      </c>
      <c r="J57" s="40" t="s">
        <v>305</v>
      </c>
      <c r="K57" s="39">
        <v>814</v>
      </c>
      <c r="L57" s="39" t="s">
        <v>306</v>
      </c>
      <c r="M57" s="40" t="s">
        <v>106</v>
      </c>
      <c r="N57" s="40"/>
      <c r="O57" s="41" t="s">
        <v>307</v>
      </c>
      <c r="P57" s="41" t="s">
        <v>49</v>
      </c>
    </row>
    <row r="58" spans="1:16" ht="12.75" customHeight="1">
      <c r="A58" s="9" t="str">
        <f t="shared" si="6"/>
        <v> AA 10.106 </v>
      </c>
      <c r="B58" s="2" t="str">
        <f t="shared" si="7"/>
        <v>I</v>
      </c>
      <c r="C58" s="9">
        <f t="shared" si="8"/>
        <v>33189.411999999997</v>
      </c>
      <c r="D58" t="str">
        <f t="shared" si="9"/>
        <v>vis</v>
      </c>
      <c r="E58">
        <f>VLOOKUP(C58,Active!C$21:E$973,3,FALSE)</f>
        <v>921.00265250064308</v>
      </c>
      <c r="F58" s="2" t="s">
        <v>102</v>
      </c>
      <c r="G58" t="str">
        <f t="shared" si="10"/>
        <v>33189.412</v>
      </c>
      <c r="H58" s="9">
        <f t="shared" si="11"/>
        <v>921</v>
      </c>
      <c r="I58" s="39" t="s">
        <v>308</v>
      </c>
      <c r="J58" s="40" t="s">
        <v>309</v>
      </c>
      <c r="K58" s="39">
        <v>921</v>
      </c>
      <c r="L58" s="39" t="s">
        <v>310</v>
      </c>
      <c r="M58" s="40" t="s">
        <v>106</v>
      </c>
      <c r="N58" s="40"/>
      <c r="O58" s="41" t="s">
        <v>307</v>
      </c>
      <c r="P58" s="41" t="s">
        <v>50</v>
      </c>
    </row>
    <row r="59" spans="1:16" ht="12.75" customHeight="1">
      <c r="A59" s="9" t="str">
        <f t="shared" si="6"/>
        <v> AA 10.106 </v>
      </c>
      <c r="B59" s="2" t="str">
        <f t="shared" si="7"/>
        <v>I</v>
      </c>
      <c r="C59" s="9">
        <f t="shared" si="8"/>
        <v>33211.449000000001</v>
      </c>
      <c r="D59" t="str">
        <f t="shared" si="9"/>
        <v>vis</v>
      </c>
      <c r="E59">
        <f>VLOOKUP(C59,Active!C$21:E$973,3,FALSE)</f>
        <v>928.99898036568982</v>
      </c>
      <c r="F59" s="2" t="s">
        <v>102</v>
      </c>
      <c r="G59" t="str">
        <f t="shared" si="10"/>
        <v>33211.449</v>
      </c>
      <c r="H59" s="9">
        <f t="shared" si="11"/>
        <v>929</v>
      </c>
      <c r="I59" s="39" t="s">
        <v>311</v>
      </c>
      <c r="J59" s="40" t="s">
        <v>312</v>
      </c>
      <c r="K59" s="39">
        <v>929</v>
      </c>
      <c r="L59" s="39" t="s">
        <v>313</v>
      </c>
      <c r="M59" s="40" t="s">
        <v>106</v>
      </c>
      <c r="N59" s="40"/>
      <c r="O59" s="41" t="s">
        <v>307</v>
      </c>
      <c r="P59" s="41" t="s">
        <v>50</v>
      </c>
    </row>
    <row r="60" spans="1:16" ht="12.75" customHeight="1">
      <c r="A60" s="9" t="str">
        <f t="shared" si="6"/>
        <v> AAC 5.9 </v>
      </c>
      <c r="B60" s="2" t="str">
        <f t="shared" si="7"/>
        <v>I</v>
      </c>
      <c r="C60" s="9">
        <f t="shared" si="8"/>
        <v>33269.339</v>
      </c>
      <c r="D60" t="str">
        <f t="shared" si="9"/>
        <v>vis</v>
      </c>
      <c r="E60">
        <f>VLOOKUP(C60,Active!C$21:E$973,3,FALSE)</f>
        <v>950.00489859900085</v>
      </c>
      <c r="F60" s="2" t="s">
        <v>102</v>
      </c>
      <c r="G60" t="str">
        <f t="shared" si="10"/>
        <v>33269.339</v>
      </c>
      <c r="H60" s="9">
        <f t="shared" si="11"/>
        <v>950</v>
      </c>
      <c r="I60" s="39" t="s">
        <v>314</v>
      </c>
      <c r="J60" s="40" t="s">
        <v>315</v>
      </c>
      <c r="K60" s="39">
        <v>950</v>
      </c>
      <c r="L60" s="39" t="s">
        <v>316</v>
      </c>
      <c r="M60" s="40" t="s">
        <v>106</v>
      </c>
      <c r="N60" s="40"/>
      <c r="O60" s="41" t="s">
        <v>307</v>
      </c>
      <c r="P60" s="41" t="s">
        <v>51</v>
      </c>
    </row>
    <row r="61" spans="1:16" ht="12.75" customHeight="1">
      <c r="A61" s="9" t="str">
        <f t="shared" si="6"/>
        <v> AAC 5.9 </v>
      </c>
      <c r="B61" s="2" t="str">
        <f t="shared" si="7"/>
        <v>I</v>
      </c>
      <c r="C61" s="9">
        <f t="shared" si="8"/>
        <v>33539.373</v>
      </c>
      <c r="D61" t="str">
        <f t="shared" si="9"/>
        <v>vis</v>
      </c>
      <c r="E61">
        <f>VLOOKUP(C61,Active!C$21:E$973,3,FALSE)</f>
        <v>1047.9892158250148</v>
      </c>
      <c r="F61" s="2" t="s">
        <v>102</v>
      </c>
      <c r="G61" t="str">
        <f t="shared" si="10"/>
        <v>33539.373</v>
      </c>
      <c r="H61" s="9">
        <f t="shared" si="11"/>
        <v>1048</v>
      </c>
      <c r="I61" s="39" t="s">
        <v>317</v>
      </c>
      <c r="J61" s="40" t="s">
        <v>318</v>
      </c>
      <c r="K61" s="39">
        <v>1048</v>
      </c>
      <c r="L61" s="39" t="s">
        <v>319</v>
      </c>
      <c r="M61" s="40" t="s">
        <v>106</v>
      </c>
      <c r="N61" s="40"/>
      <c r="O61" s="41" t="s">
        <v>307</v>
      </c>
      <c r="P61" s="41" t="s">
        <v>51</v>
      </c>
    </row>
    <row r="62" spans="1:16" ht="12.75" customHeight="1">
      <c r="A62" s="9" t="str">
        <f t="shared" si="6"/>
        <v> MVS 2.126 </v>
      </c>
      <c r="B62" s="2" t="str">
        <f t="shared" si="7"/>
        <v>I</v>
      </c>
      <c r="C62" s="9">
        <f t="shared" si="8"/>
        <v>35399.561999999998</v>
      </c>
      <c r="D62" t="str">
        <f t="shared" si="9"/>
        <v>vis</v>
      </c>
      <c r="E62">
        <f>VLOOKUP(C62,Active!C$21:E$973,3,FALSE)</f>
        <v>1722.9758807499568</v>
      </c>
      <c r="F62" s="2" t="s">
        <v>102</v>
      </c>
      <c r="G62" t="str">
        <f t="shared" si="10"/>
        <v>35399.562</v>
      </c>
      <c r="H62" s="9">
        <f t="shared" si="11"/>
        <v>1723</v>
      </c>
      <c r="I62" s="39" t="s">
        <v>320</v>
      </c>
      <c r="J62" s="40" t="s">
        <v>321</v>
      </c>
      <c r="K62" s="39">
        <v>1723</v>
      </c>
      <c r="L62" s="39" t="s">
        <v>322</v>
      </c>
      <c r="M62" s="40" t="s">
        <v>289</v>
      </c>
      <c r="N62" s="40"/>
      <c r="O62" s="41" t="s">
        <v>323</v>
      </c>
      <c r="P62" s="41" t="s">
        <v>52</v>
      </c>
    </row>
    <row r="63" spans="1:16" ht="12.75" customHeight="1">
      <c r="A63" s="9" t="str">
        <f t="shared" si="6"/>
        <v> AA 7.190 </v>
      </c>
      <c r="B63" s="2" t="str">
        <f t="shared" si="7"/>
        <v>I</v>
      </c>
      <c r="C63" s="9">
        <f t="shared" si="8"/>
        <v>35807.508999999998</v>
      </c>
      <c r="D63" t="str">
        <f t="shared" si="9"/>
        <v>vis</v>
      </c>
      <c r="E63">
        <f>VLOOKUP(C63,Active!C$21:E$973,3,FALSE)</f>
        <v>1871.0031967894215</v>
      </c>
      <c r="F63" s="2" t="s">
        <v>102</v>
      </c>
      <c r="G63" t="str">
        <f t="shared" si="10"/>
        <v>35807.509</v>
      </c>
      <c r="H63" s="9">
        <f t="shared" si="11"/>
        <v>1871</v>
      </c>
      <c r="I63" s="39" t="s">
        <v>324</v>
      </c>
      <c r="J63" s="40" t="s">
        <v>325</v>
      </c>
      <c r="K63" s="39">
        <v>1871</v>
      </c>
      <c r="L63" s="39" t="s">
        <v>326</v>
      </c>
      <c r="M63" s="40" t="s">
        <v>106</v>
      </c>
      <c r="N63" s="40"/>
      <c r="O63" s="41" t="s">
        <v>307</v>
      </c>
      <c r="P63" s="41" t="s">
        <v>53</v>
      </c>
    </row>
    <row r="64" spans="1:16" ht="12.75" customHeight="1">
      <c r="A64" s="9" t="str">
        <f t="shared" si="6"/>
        <v> AA 8.192 </v>
      </c>
      <c r="B64" s="2" t="str">
        <f t="shared" si="7"/>
        <v>I</v>
      </c>
      <c r="C64" s="9">
        <f t="shared" si="8"/>
        <v>35876.375</v>
      </c>
      <c r="D64" t="str">
        <f t="shared" si="9"/>
        <v>vis</v>
      </c>
      <c r="E64">
        <f>VLOOKUP(C64,Active!C$21:E$973,3,FALSE)</f>
        <v>1895.9918574398835</v>
      </c>
      <c r="F64" s="2" t="s">
        <v>102</v>
      </c>
      <c r="G64" t="str">
        <f t="shared" si="10"/>
        <v>35876.375</v>
      </c>
      <c r="H64" s="9">
        <f t="shared" si="11"/>
        <v>1896</v>
      </c>
      <c r="I64" s="39" t="s">
        <v>327</v>
      </c>
      <c r="J64" s="40" t="s">
        <v>328</v>
      </c>
      <c r="K64" s="39">
        <v>1896</v>
      </c>
      <c r="L64" s="39" t="s">
        <v>329</v>
      </c>
      <c r="M64" s="40" t="s">
        <v>106</v>
      </c>
      <c r="N64" s="40"/>
      <c r="O64" s="41" t="s">
        <v>307</v>
      </c>
      <c r="P64" s="41" t="s">
        <v>54</v>
      </c>
    </row>
    <row r="65" spans="1:16" ht="12.75" customHeight="1">
      <c r="A65" s="9" t="str">
        <f t="shared" si="6"/>
        <v> MVS 2.126 </v>
      </c>
      <c r="B65" s="2" t="str">
        <f t="shared" si="7"/>
        <v>I</v>
      </c>
      <c r="C65" s="9">
        <f t="shared" si="8"/>
        <v>37579.546999999999</v>
      </c>
      <c r="D65" t="str">
        <f t="shared" si="9"/>
        <v>vis</v>
      </c>
      <c r="E65">
        <f>VLOOKUP(C65,Active!C$21:E$973,3,FALSE)</f>
        <v>2514.003461676627</v>
      </c>
      <c r="F65" s="2" t="s">
        <v>102</v>
      </c>
      <c r="G65" t="str">
        <f t="shared" si="10"/>
        <v>37579.547</v>
      </c>
      <c r="H65" s="9">
        <f t="shared" si="11"/>
        <v>2514</v>
      </c>
      <c r="I65" s="39" t="s">
        <v>330</v>
      </c>
      <c r="J65" s="40" t="s">
        <v>331</v>
      </c>
      <c r="K65" s="39">
        <v>2514</v>
      </c>
      <c r="L65" s="39" t="s">
        <v>332</v>
      </c>
      <c r="M65" s="40" t="s">
        <v>289</v>
      </c>
      <c r="N65" s="40"/>
      <c r="O65" s="41" t="s">
        <v>323</v>
      </c>
      <c r="P65" s="41" t="s">
        <v>52</v>
      </c>
    </row>
    <row r="66" spans="1:16" ht="12.75" customHeight="1">
      <c r="A66" s="9" t="str">
        <f t="shared" si="6"/>
        <v> VSSC 60.23 </v>
      </c>
      <c r="B66" s="2" t="str">
        <f t="shared" si="7"/>
        <v>I</v>
      </c>
      <c r="C66" s="9">
        <f t="shared" si="8"/>
        <v>45326.332000000002</v>
      </c>
      <c r="D66" t="str">
        <f t="shared" si="9"/>
        <v>vis</v>
      </c>
      <c r="E66">
        <f>VLOOKUP(C66,Active!C$21:E$973,3,FALSE)</f>
        <v>5324.995554974982</v>
      </c>
      <c r="F66" s="2" t="s">
        <v>102</v>
      </c>
      <c r="G66" t="str">
        <f t="shared" si="10"/>
        <v>45326.332</v>
      </c>
      <c r="H66" s="9">
        <f t="shared" si="11"/>
        <v>5325</v>
      </c>
      <c r="I66" s="39" t="s">
        <v>333</v>
      </c>
      <c r="J66" s="40" t="s">
        <v>334</v>
      </c>
      <c r="K66" s="39">
        <v>5325</v>
      </c>
      <c r="L66" s="39" t="s">
        <v>335</v>
      </c>
      <c r="M66" s="40" t="s">
        <v>106</v>
      </c>
      <c r="N66" s="40"/>
      <c r="O66" s="41" t="s">
        <v>120</v>
      </c>
      <c r="P66" s="41" t="s">
        <v>55</v>
      </c>
    </row>
    <row r="67" spans="1:16" ht="12.75" customHeight="1">
      <c r="A67" s="9" t="str">
        <f t="shared" si="6"/>
        <v> VSSC 68.35 </v>
      </c>
      <c r="B67" s="2" t="str">
        <f t="shared" si="7"/>
        <v>I</v>
      </c>
      <c r="C67" s="9">
        <f t="shared" si="8"/>
        <v>46351.462</v>
      </c>
      <c r="D67" t="str">
        <f t="shared" si="9"/>
        <v>vis</v>
      </c>
      <c r="E67">
        <f>VLOOKUP(C67,Active!C$21:E$973,3,FALSE)</f>
        <v>5696.9733915359466</v>
      </c>
      <c r="F67" s="2" t="s">
        <v>102</v>
      </c>
      <c r="G67" t="str">
        <f t="shared" si="10"/>
        <v>46351.462</v>
      </c>
      <c r="H67" s="9">
        <f t="shared" si="11"/>
        <v>5697</v>
      </c>
      <c r="I67" s="39" t="s">
        <v>336</v>
      </c>
      <c r="J67" s="40" t="s">
        <v>337</v>
      </c>
      <c r="K67" s="39">
        <v>5697</v>
      </c>
      <c r="L67" s="39" t="s">
        <v>338</v>
      </c>
      <c r="M67" s="40" t="s">
        <v>106</v>
      </c>
      <c r="N67" s="40"/>
      <c r="O67" s="41" t="s">
        <v>120</v>
      </c>
      <c r="P67" s="41" t="s">
        <v>60</v>
      </c>
    </row>
    <row r="68" spans="1:16" ht="12.75" customHeight="1">
      <c r="A68" s="9" t="str">
        <f t="shared" si="6"/>
        <v> VSSC 68.35 </v>
      </c>
      <c r="B68" s="2" t="str">
        <f t="shared" si="7"/>
        <v>I</v>
      </c>
      <c r="C68" s="9">
        <f t="shared" si="8"/>
        <v>46442.408000000003</v>
      </c>
      <c r="D68" t="str">
        <f t="shared" si="9"/>
        <v>vis</v>
      </c>
      <c r="E68">
        <f>VLOOKUP(C68,Active!C$21:E$973,3,FALSE)</f>
        <v>5729.9739829964201</v>
      </c>
      <c r="F68" s="2" t="s">
        <v>102</v>
      </c>
      <c r="G68" t="str">
        <f t="shared" si="10"/>
        <v>46442.408</v>
      </c>
      <c r="H68" s="9">
        <f t="shared" si="11"/>
        <v>5730</v>
      </c>
      <c r="I68" s="39" t="s">
        <v>339</v>
      </c>
      <c r="J68" s="40" t="s">
        <v>340</v>
      </c>
      <c r="K68" s="39">
        <v>5730</v>
      </c>
      <c r="L68" s="39" t="s">
        <v>341</v>
      </c>
      <c r="M68" s="40" t="s">
        <v>106</v>
      </c>
      <c r="N68" s="40"/>
      <c r="O68" s="41" t="s">
        <v>120</v>
      </c>
      <c r="P68" s="41" t="s">
        <v>60</v>
      </c>
    </row>
    <row r="69" spans="1:16" ht="12.75" customHeight="1">
      <c r="A69" s="9" t="str">
        <f t="shared" si="6"/>
        <v> VSSC 73 </v>
      </c>
      <c r="B69" s="2" t="str">
        <f t="shared" si="7"/>
        <v>I</v>
      </c>
      <c r="C69" s="9">
        <f t="shared" si="8"/>
        <v>47856.211000000003</v>
      </c>
      <c r="D69" t="str">
        <f t="shared" si="9"/>
        <v>vis</v>
      </c>
      <c r="E69">
        <f>VLOOKUP(C69,Active!C$21:E$973,3,FALSE)</f>
        <v>6242.9853876606121</v>
      </c>
      <c r="F69" s="2" t="s">
        <v>102</v>
      </c>
      <c r="G69" t="str">
        <f t="shared" si="10"/>
        <v>47856.211</v>
      </c>
      <c r="H69" s="9">
        <f t="shared" si="11"/>
        <v>6243</v>
      </c>
      <c r="I69" s="39" t="s">
        <v>342</v>
      </c>
      <c r="J69" s="40" t="s">
        <v>343</v>
      </c>
      <c r="K69" s="39">
        <v>6243</v>
      </c>
      <c r="L69" s="39" t="s">
        <v>344</v>
      </c>
      <c r="M69" s="40" t="s">
        <v>106</v>
      </c>
      <c r="N69" s="40"/>
      <c r="O69" s="41" t="s">
        <v>120</v>
      </c>
      <c r="P69" s="41" t="s">
        <v>62</v>
      </c>
    </row>
    <row r="70" spans="1:16" ht="12.75" customHeight="1">
      <c r="A70" s="9" t="str">
        <f t="shared" si="6"/>
        <v>BAVM 56 </v>
      </c>
      <c r="B70" s="2" t="str">
        <f t="shared" si="7"/>
        <v>I</v>
      </c>
      <c r="C70" s="9">
        <f t="shared" si="8"/>
        <v>47864.445299999999</v>
      </c>
      <c r="D70" t="str">
        <f t="shared" si="9"/>
        <v>vis</v>
      </c>
      <c r="E70">
        <f>VLOOKUP(C70,Active!C$21:E$973,3,FALSE)</f>
        <v>6245.9732790495991</v>
      </c>
      <c r="F70" s="2" t="s">
        <v>102</v>
      </c>
      <c r="G70" t="str">
        <f t="shared" si="10"/>
        <v>47864.4453</v>
      </c>
      <c r="H70" s="9">
        <f t="shared" si="11"/>
        <v>6246</v>
      </c>
      <c r="I70" s="39" t="s">
        <v>345</v>
      </c>
      <c r="J70" s="40" t="s">
        <v>346</v>
      </c>
      <c r="K70" s="39">
        <v>6246</v>
      </c>
      <c r="L70" s="39" t="s">
        <v>347</v>
      </c>
      <c r="M70" s="40" t="s">
        <v>129</v>
      </c>
      <c r="N70" s="40" t="s">
        <v>348</v>
      </c>
      <c r="O70" s="41" t="s">
        <v>183</v>
      </c>
      <c r="P70" s="42" t="s">
        <v>65</v>
      </c>
    </row>
    <row r="71" spans="1:16" ht="12.75" customHeight="1">
      <c r="A71" s="9" t="str">
        <f t="shared" si="6"/>
        <v>VSB 40 </v>
      </c>
      <c r="B71" s="2" t="str">
        <f t="shared" si="7"/>
        <v>I</v>
      </c>
      <c r="C71" s="9">
        <f t="shared" si="8"/>
        <v>52621.105499999998</v>
      </c>
      <c r="D71" t="str">
        <f t="shared" si="9"/>
        <v>vis</v>
      </c>
      <c r="E71">
        <f>VLOOKUP(C71,Active!C$21:E$973,3,FALSE)</f>
        <v>7971.9711236660387</v>
      </c>
      <c r="F71" s="2" t="s">
        <v>102</v>
      </c>
      <c r="G71" t="str">
        <f t="shared" si="10"/>
        <v>52621.1055</v>
      </c>
      <c r="H71" s="9">
        <f t="shared" si="11"/>
        <v>7972</v>
      </c>
      <c r="I71" s="39" t="s">
        <v>349</v>
      </c>
      <c r="J71" s="40" t="s">
        <v>350</v>
      </c>
      <c r="K71" s="39">
        <v>7972</v>
      </c>
      <c r="L71" s="39" t="s">
        <v>351</v>
      </c>
      <c r="M71" s="40" t="s">
        <v>129</v>
      </c>
      <c r="N71" s="40" t="s">
        <v>130</v>
      </c>
      <c r="O71" s="41" t="s">
        <v>352</v>
      </c>
      <c r="P71" s="42" t="s">
        <v>73</v>
      </c>
    </row>
    <row r="72" spans="1:16" ht="12.75" customHeight="1">
      <c r="A72" s="9" t="str">
        <f t="shared" si="6"/>
        <v>VSB 42 </v>
      </c>
      <c r="B72" s="2" t="str">
        <f t="shared" si="7"/>
        <v>I</v>
      </c>
      <c r="C72" s="9">
        <f t="shared" si="8"/>
        <v>52993.152199999997</v>
      </c>
      <c r="D72" t="str">
        <f t="shared" si="9"/>
        <v>vis</v>
      </c>
      <c r="E72">
        <f>VLOOKUP(C72,Active!C$21:E$973,3,FALSE)</f>
        <v>8106.9716860977751</v>
      </c>
      <c r="F72" s="2" t="s">
        <v>102</v>
      </c>
      <c r="G72" t="str">
        <f t="shared" si="10"/>
        <v>52993.1522</v>
      </c>
      <c r="H72" s="9">
        <f t="shared" si="11"/>
        <v>8107</v>
      </c>
      <c r="I72" s="39" t="s">
        <v>353</v>
      </c>
      <c r="J72" s="40" t="s">
        <v>354</v>
      </c>
      <c r="K72" s="39">
        <v>8107</v>
      </c>
      <c r="L72" s="39" t="s">
        <v>154</v>
      </c>
      <c r="M72" s="40" t="s">
        <v>129</v>
      </c>
      <c r="N72" s="40" t="s">
        <v>130</v>
      </c>
      <c r="O72" s="41" t="s">
        <v>352</v>
      </c>
      <c r="P72" s="42" t="s">
        <v>76</v>
      </c>
    </row>
    <row r="73" spans="1:16" ht="12.75" customHeight="1">
      <c r="A73" s="9" t="str">
        <f t="shared" si="6"/>
        <v>BAVM 193 </v>
      </c>
      <c r="B73" s="2" t="str">
        <f t="shared" si="7"/>
        <v>I</v>
      </c>
      <c r="C73" s="9">
        <f t="shared" si="8"/>
        <v>54387.626400000001</v>
      </c>
      <c r="D73" t="str">
        <f t="shared" si="9"/>
        <v>vis</v>
      </c>
      <c r="E73">
        <f>VLOOKUP(C73,Active!C$21:E$973,3,FALSE)</f>
        <v>8612.9694581423792</v>
      </c>
      <c r="F73" s="2" t="s">
        <v>102</v>
      </c>
      <c r="G73" t="str">
        <f t="shared" si="10"/>
        <v>54387.6264</v>
      </c>
      <c r="H73" s="9">
        <f t="shared" si="11"/>
        <v>8613</v>
      </c>
      <c r="I73" s="39" t="s">
        <v>355</v>
      </c>
      <c r="J73" s="40" t="s">
        <v>356</v>
      </c>
      <c r="K73" s="39" t="s">
        <v>357</v>
      </c>
      <c r="L73" s="39" t="s">
        <v>358</v>
      </c>
      <c r="M73" s="40" t="s">
        <v>182</v>
      </c>
      <c r="N73" s="40" t="s">
        <v>359</v>
      </c>
      <c r="O73" s="41" t="s">
        <v>360</v>
      </c>
      <c r="P73" s="42" t="s">
        <v>84</v>
      </c>
    </row>
    <row r="74" spans="1:16" ht="12.75" customHeight="1">
      <c r="A74" s="9" t="str">
        <f t="shared" si="6"/>
        <v>IBVS 5972 </v>
      </c>
      <c r="B74" s="2" t="str">
        <f t="shared" si="7"/>
        <v>I</v>
      </c>
      <c r="C74" s="9">
        <f t="shared" si="8"/>
        <v>55153.751499999998</v>
      </c>
      <c r="D74" t="str">
        <f t="shared" si="9"/>
        <v>vis</v>
      </c>
      <c r="E74">
        <f>VLOOKUP(C74,Active!C$21:E$973,3,FALSE)</f>
        <v>8890.964987717216</v>
      </c>
      <c r="F74" s="2" t="s">
        <v>102</v>
      </c>
      <c r="G74" t="str">
        <f t="shared" si="10"/>
        <v>55153.7515</v>
      </c>
      <c r="H74" s="9">
        <f t="shared" si="11"/>
        <v>8891</v>
      </c>
      <c r="I74" s="39" t="s">
        <v>361</v>
      </c>
      <c r="J74" s="40" t="s">
        <v>362</v>
      </c>
      <c r="K74" s="39" t="s">
        <v>363</v>
      </c>
      <c r="L74" s="39" t="s">
        <v>364</v>
      </c>
      <c r="M74" s="40" t="s">
        <v>182</v>
      </c>
      <c r="N74" s="40" t="s">
        <v>102</v>
      </c>
      <c r="O74" s="41" t="s">
        <v>161</v>
      </c>
      <c r="P74" s="42" t="s">
        <v>365</v>
      </c>
    </row>
    <row r="75" spans="1:16" ht="12.75" customHeight="1">
      <c r="A75" s="9" t="str">
        <f t="shared" si="6"/>
        <v>VSB 56 </v>
      </c>
      <c r="B75" s="2" t="str">
        <f t="shared" si="7"/>
        <v>I</v>
      </c>
      <c r="C75" s="9">
        <f t="shared" si="8"/>
        <v>56617.106500000002</v>
      </c>
      <c r="D75" t="str">
        <f t="shared" si="9"/>
        <v>vis</v>
      </c>
      <c r="E75">
        <f>VLOOKUP(C75,Active!C$21:E$973,3,FALSE)</f>
        <v>9421.9567907282235</v>
      </c>
      <c r="F75" s="2" t="s">
        <v>102</v>
      </c>
      <c r="G75" t="str">
        <f t="shared" si="10"/>
        <v>56617.1065</v>
      </c>
      <c r="H75" s="9">
        <f t="shared" si="11"/>
        <v>9422</v>
      </c>
      <c r="I75" s="39" t="s">
        <v>366</v>
      </c>
      <c r="J75" s="40" t="s">
        <v>367</v>
      </c>
      <c r="K75" s="39" t="s">
        <v>368</v>
      </c>
      <c r="L75" s="39" t="s">
        <v>369</v>
      </c>
      <c r="M75" s="40" t="s">
        <v>182</v>
      </c>
      <c r="N75" s="40" t="s">
        <v>94</v>
      </c>
      <c r="O75" s="41" t="s">
        <v>370</v>
      </c>
      <c r="P75" s="42" t="s">
        <v>90</v>
      </c>
    </row>
  </sheetData>
  <sheetProtection selectLockedCells="1" selectUnlockedCells="1"/>
  <hyperlinks>
    <hyperlink ref="P12" r:id="rId1"/>
    <hyperlink ref="P13" r:id="rId2"/>
    <hyperlink ref="P15" r:id="rId3"/>
    <hyperlink ref="P17" r:id="rId4"/>
    <hyperlink ref="P18" r:id="rId5"/>
    <hyperlink ref="P19" r:id="rId6"/>
    <hyperlink ref="P20" r:id="rId7"/>
    <hyperlink ref="P21" r:id="rId8"/>
    <hyperlink ref="P22" r:id="rId9"/>
    <hyperlink ref="P23" r:id="rId10"/>
    <hyperlink ref="P24" r:id="rId11"/>
    <hyperlink ref="P25" r:id="rId12"/>
    <hyperlink ref="P26" r:id="rId13"/>
    <hyperlink ref="P27" r:id="rId14"/>
    <hyperlink ref="P28" r:id="rId15"/>
    <hyperlink ref="P29" r:id="rId16"/>
    <hyperlink ref="P30" r:id="rId17"/>
    <hyperlink ref="P31" r:id="rId18"/>
    <hyperlink ref="P32" r:id="rId19"/>
    <hyperlink ref="P33" r:id="rId20"/>
    <hyperlink ref="P34" r:id="rId21"/>
    <hyperlink ref="P35" r:id="rId22"/>
    <hyperlink ref="P36" r:id="rId23"/>
    <hyperlink ref="P38" r:id="rId24"/>
    <hyperlink ref="P39" r:id="rId25"/>
    <hyperlink ref="P40" r:id="rId26"/>
    <hyperlink ref="P41" r:id="rId27"/>
    <hyperlink ref="P42" r:id="rId28"/>
    <hyperlink ref="P43" r:id="rId29"/>
    <hyperlink ref="P44" r:id="rId30"/>
    <hyperlink ref="P45" r:id="rId31"/>
    <hyperlink ref="P46" r:id="rId32"/>
    <hyperlink ref="P47" r:id="rId33"/>
    <hyperlink ref="P48" r:id="rId34"/>
    <hyperlink ref="P49" r:id="rId35"/>
    <hyperlink ref="P50" r:id="rId36"/>
    <hyperlink ref="P51" r:id="rId37"/>
    <hyperlink ref="P70" r:id="rId38"/>
    <hyperlink ref="P71" r:id="rId39"/>
    <hyperlink ref="P72" r:id="rId40"/>
    <hyperlink ref="P73" r:id="rId41"/>
    <hyperlink ref="P74" r:id="rId42"/>
    <hyperlink ref="P75" r:id="rId43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2024-03-07T04:43:08Z</dcterms:created>
  <dcterms:modified xsi:type="dcterms:W3CDTF">2024-03-07T04:43:08Z</dcterms:modified>
</cp:coreProperties>
</file>