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AE9A2F3-7B99-4F45-8067-83899B0C970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9" i="1"/>
  <c r="D9" i="1"/>
  <c r="E21" i="1"/>
  <c r="F21" i="1"/>
  <c r="G21" i="1"/>
  <c r="H21" i="1"/>
  <c r="Q22" i="1"/>
  <c r="Q23" i="1"/>
  <c r="Q24" i="1"/>
  <c r="Q25" i="1"/>
  <c r="Q26" i="1"/>
  <c r="Q27" i="1"/>
  <c r="Q28" i="1"/>
  <c r="Q29" i="1"/>
  <c r="Q30" i="1"/>
  <c r="Q31" i="1"/>
  <c r="Q32" i="1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F16" i="1"/>
  <c r="C17" i="1"/>
  <c r="Q21" i="1"/>
  <c r="C12" i="1"/>
  <c r="C11" i="1"/>
  <c r="O31" i="1" l="1"/>
  <c r="O27" i="1"/>
  <c r="O26" i="1"/>
  <c r="C15" i="1"/>
  <c r="O21" i="1"/>
  <c r="O22" i="1"/>
  <c r="O32" i="1"/>
  <c r="O29" i="1"/>
  <c r="O30" i="1"/>
  <c r="O24" i="1"/>
  <c r="O25" i="1"/>
  <c r="O28" i="1"/>
  <c r="O2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<sst xmlns="http://schemas.openxmlformats.org/spreadsheetml/2006/main" count="161" uniqueCount="90">
  <si>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</si>
  <si>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</si>
  <si>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</si>
  <si>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</si>
  <si>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</si>
  <si>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</si>
  <si>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</si>
  <si>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</si>
  <si>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</si>
  <si>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</si>
  <si>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</si>
  <si>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</si>
  <si>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</si>
  <si>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</si>
  <si>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</si>
  <si>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</si>
  <si>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</si>
  <si>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</si>
  <si>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</si>
  <si>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</si>
  <si>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</si>
  <si>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</si>
  <si>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</si>
  <si>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</si>
  <si>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</si>
  <si>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</si>
  <si>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</si>
  <si>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</si>
  <si>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</si>
  <si>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</si>
  <si>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</si>
  <si>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</si>
  <si>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</si>
  <si>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</si>
  <si>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</si>
  <si>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</si>
  <si>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</si>
  <si>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</si>
  <si>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</si>
  <si>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</si>
  <si>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</si>
  <si>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</si>
  <si>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</si>
  <si>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</si>
  <si>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</si>
  <si>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</si>
  <si>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</si>
  <si>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</si>
  <si>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EW Tau</t>
  </si>
  <si>
    <t>EA</t>
  </si>
  <si>
    <t>GCVS 4</t>
  </si>
  <si>
    <t>EW Tau / GSC 41.233066</t>
  </si>
  <si>
    <t>2429641.56 </t>
  </si>
  <si>
    <t> 13.01.1940 01:26 </t>
  </si>
  <si>
    <t> -0.20 </t>
  </si>
  <si>
    <t>P </t>
  </si>
  <si>
    <t> H.Gessner </t>
  </si>
  <si>
    <t> MVS 717 </t>
  </si>
  <si>
    <t>2430321.56 </t>
  </si>
  <si>
    <t> 23.11.1941 01:26 </t>
  </si>
  <si>
    <t> 0.06 </t>
  </si>
  <si>
    <t>2430326.68 </t>
  </si>
  <si>
    <t> 28.11.1941 04:19 </t>
  </si>
  <si>
    <t> -0.09 </t>
  </si>
  <si>
    <t>2431470.334 </t>
  </si>
  <si>
    <t> 14.01.1945 20:00 </t>
  </si>
  <si>
    <t> 0.113 </t>
  </si>
  <si>
    <t> P.Ahnert </t>
  </si>
  <si>
    <t> VSS 1.495 </t>
  </si>
  <si>
    <t>2431823.29 </t>
  </si>
  <si>
    <t> 02.01.1946 18:57 </t>
  </si>
  <si>
    <t> 0.02 </t>
  </si>
  <si>
    <t>2431844.30 </t>
  </si>
  <si>
    <t> 23.01.1946 19:12 </t>
  </si>
  <si>
    <t> -0.04 </t>
  </si>
  <si>
    <t>2434363.38 </t>
  </si>
  <si>
    <t> 16.12.1952 21:07 </t>
  </si>
  <si>
    <t> 0.29 </t>
  </si>
  <si>
    <t>2435427.50 </t>
  </si>
  <si>
    <t> 16.11.1955 00:00 </t>
  </si>
  <si>
    <t> 0.00 </t>
  </si>
  <si>
    <t>2435480.28 </t>
  </si>
  <si>
    <t> 07.01.1956 18:43 </t>
  </si>
  <si>
    <t> 0.09 </t>
  </si>
  <si>
    <t>2436544.60 </t>
  </si>
  <si>
    <t> 07.12.1958 02:24 </t>
  </si>
  <si>
    <t>2436597.27 </t>
  </si>
  <si>
    <t> 28.01.1959 18:28 </t>
  </si>
  <si>
    <t> -0.02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</si>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</sst>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7" fillId="4" borderId="13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Tau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90977443609022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129</c:v>
                </c:pt>
                <c:pt idx="3">
                  <c:v>130</c:v>
                </c:pt>
                <c:pt idx="4">
                  <c:v>347</c:v>
                </c:pt>
                <c:pt idx="5">
                  <c:v>414</c:v>
                </c:pt>
                <c:pt idx="6">
                  <c:v>418</c:v>
                </c:pt>
                <c:pt idx="7">
                  <c:v>896</c:v>
                </c:pt>
                <c:pt idx="8">
                  <c:v>1098</c:v>
                </c:pt>
                <c:pt idx="9">
                  <c:v>1108</c:v>
                </c:pt>
                <c:pt idx="10">
                  <c:v>1310</c:v>
                </c:pt>
                <c:pt idx="11">
                  <c:v>1320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0.32693400000425754</c:v>
                </c:pt>
                <c:pt idx="2">
                  <c:v>0.58207400000537746</c:v>
                </c:pt>
                <c:pt idx="3">
                  <c:v>0.43273400000180118</c:v>
                </c:pt>
                <c:pt idx="4">
                  <c:v>0.63995400000203517</c:v>
                </c:pt>
                <c:pt idx="5">
                  <c:v>0.55017400000360794</c:v>
                </c:pt>
                <c:pt idx="6">
                  <c:v>0.48281400000269059</c:v>
                </c:pt>
                <c:pt idx="7">
                  <c:v>0.81829400000424357</c:v>
                </c:pt>
                <c:pt idx="8">
                  <c:v>0.53161400000681169</c:v>
                </c:pt>
                <c:pt idx="9">
                  <c:v>0.61821400000189897</c:v>
                </c:pt>
                <c:pt idx="10">
                  <c:v>0.53153400000155671</c:v>
                </c:pt>
                <c:pt idx="11">
                  <c:v>0.5081339999960619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C7-4B3D-891C-34DFF96DD9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129</c:v>
                </c:pt>
                <c:pt idx="3">
                  <c:v>130</c:v>
                </c:pt>
                <c:pt idx="4">
                  <c:v>347</c:v>
                </c:pt>
                <c:pt idx="5">
                  <c:v>414</c:v>
                </c:pt>
                <c:pt idx="6">
                  <c:v>418</c:v>
                </c:pt>
                <c:pt idx="7">
                  <c:v>896</c:v>
                </c:pt>
                <c:pt idx="8">
                  <c:v>1098</c:v>
                </c:pt>
                <c:pt idx="9">
                  <c:v>1108</c:v>
                </c:pt>
                <c:pt idx="10">
                  <c:v>1310</c:v>
                </c:pt>
                <c:pt idx="11">
                  <c:v>1320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C7-4B3D-891C-34DFF96DD9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129</c:v>
                </c:pt>
                <c:pt idx="3">
                  <c:v>130</c:v>
                </c:pt>
                <c:pt idx="4">
                  <c:v>347</c:v>
                </c:pt>
                <c:pt idx="5">
                  <c:v>414</c:v>
                </c:pt>
                <c:pt idx="6">
                  <c:v>418</c:v>
                </c:pt>
                <c:pt idx="7">
                  <c:v>896</c:v>
                </c:pt>
                <c:pt idx="8">
                  <c:v>1098</c:v>
                </c:pt>
                <c:pt idx="9">
                  <c:v>1108</c:v>
                </c:pt>
                <c:pt idx="10">
                  <c:v>1310</c:v>
                </c:pt>
                <c:pt idx="11">
                  <c:v>1320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C7-4B3D-891C-34DFF96DD9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129</c:v>
                </c:pt>
                <c:pt idx="3">
                  <c:v>130</c:v>
                </c:pt>
                <c:pt idx="4">
                  <c:v>347</c:v>
                </c:pt>
                <c:pt idx="5">
                  <c:v>414</c:v>
                </c:pt>
                <c:pt idx="6">
                  <c:v>418</c:v>
                </c:pt>
                <c:pt idx="7">
                  <c:v>896</c:v>
                </c:pt>
                <c:pt idx="8">
                  <c:v>1098</c:v>
                </c:pt>
                <c:pt idx="9">
                  <c:v>1108</c:v>
                </c:pt>
                <c:pt idx="10">
                  <c:v>1310</c:v>
                </c:pt>
                <c:pt idx="11">
                  <c:v>1320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C7-4B3D-891C-34DFF96DD9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129</c:v>
                </c:pt>
                <c:pt idx="3">
                  <c:v>130</c:v>
                </c:pt>
                <c:pt idx="4">
                  <c:v>347</c:v>
                </c:pt>
                <c:pt idx="5">
                  <c:v>414</c:v>
                </c:pt>
                <c:pt idx="6">
                  <c:v>418</c:v>
                </c:pt>
                <c:pt idx="7">
                  <c:v>896</c:v>
                </c:pt>
                <c:pt idx="8">
                  <c:v>1098</c:v>
                </c:pt>
                <c:pt idx="9">
                  <c:v>1108</c:v>
                </c:pt>
                <c:pt idx="10">
                  <c:v>1310</c:v>
                </c:pt>
                <c:pt idx="11">
                  <c:v>1320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C7-4B3D-891C-34DFF96DD9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129</c:v>
                </c:pt>
                <c:pt idx="3">
                  <c:v>130</c:v>
                </c:pt>
                <c:pt idx="4">
                  <c:v>347</c:v>
                </c:pt>
                <c:pt idx="5">
                  <c:v>414</c:v>
                </c:pt>
                <c:pt idx="6">
                  <c:v>418</c:v>
                </c:pt>
                <c:pt idx="7">
                  <c:v>896</c:v>
                </c:pt>
                <c:pt idx="8">
                  <c:v>1098</c:v>
                </c:pt>
                <c:pt idx="9">
                  <c:v>1108</c:v>
                </c:pt>
                <c:pt idx="10">
                  <c:v>1310</c:v>
                </c:pt>
                <c:pt idx="11">
                  <c:v>1320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C7-4B3D-891C-34DFF96DD9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129</c:v>
                </c:pt>
                <c:pt idx="3">
                  <c:v>130</c:v>
                </c:pt>
                <c:pt idx="4">
                  <c:v>347</c:v>
                </c:pt>
                <c:pt idx="5">
                  <c:v>414</c:v>
                </c:pt>
                <c:pt idx="6">
                  <c:v>418</c:v>
                </c:pt>
                <c:pt idx="7">
                  <c:v>896</c:v>
                </c:pt>
                <c:pt idx="8">
                  <c:v>1098</c:v>
                </c:pt>
                <c:pt idx="9">
                  <c:v>1108</c:v>
                </c:pt>
                <c:pt idx="10">
                  <c:v>1310</c:v>
                </c:pt>
                <c:pt idx="11">
                  <c:v>1320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C7-4B3D-891C-34DFF96DD9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129</c:v>
                </c:pt>
                <c:pt idx="3">
                  <c:v>130</c:v>
                </c:pt>
                <c:pt idx="4">
                  <c:v>347</c:v>
                </c:pt>
                <c:pt idx="5">
                  <c:v>414</c:v>
                </c:pt>
                <c:pt idx="6">
                  <c:v>418</c:v>
                </c:pt>
                <c:pt idx="7">
                  <c:v>896</c:v>
                </c:pt>
                <c:pt idx="8">
                  <c:v>1098</c:v>
                </c:pt>
                <c:pt idx="9">
                  <c:v>1108</c:v>
                </c:pt>
                <c:pt idx="10">
                  <c:v>1310</c:v>
                </c:pt>
                <c:pt idx="11">
                  <c:v>1320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0.38824761392579993</c:v>
                </c:pt>
                <c:pt idx="1">
                  <c:v>0.38824761392579993</c:v>
                </c:pt>
                <c:pt idx="2">
                  <c:v>0.41277925125449949</c:v>
                </c:pt>
                <c:pt idx="3">
                  <c:v>0.4129694189857297</c:v>
                </c:pt>
                <c:pt idx="4">
                  <c:v>0.45423581666268942</c:v>
                </c:pt>
                <c:pt idx="5">
                  <c:v>0.4669770546551148</c:v>
                </c:pt>
                <c:pt idx="6">
                  <c:v>0.46773772558003573</c:v>
                </c:pt>
                <c:pt idx="7">
                  <c:v>0.55863790110808531</c:v>
                </c:pt>
                <c:pt idx="8">
                  <c:v>0.59705178281659155</c:v>
                </c:pt>
                <c:pt idx="9">
                  <c:v>0.59895346012889383</c:v>
                </c:pt>
                <c:pt idx="10">
                  <c:v>0.63736734183740018</c:v>
                </c:pt>
                <c:pt idx="11">
                  <c:v>0.63926901914970236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C7-4B3D-891C-34DFF96DD9F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129</c:v>
                </c:pt>
                <c:pt idx="3">
                  <c:v>130</c:v>
                </c:pt>
                <c:pt idx="4">
                  <c:v>347</c:v>
                </c:pt>
                <c:pt idx="5">
                  <c:v>414</c:v>
                </c:pt>
                <c:pt idx="6">
                  <c:v>418</c:v>
                </c:pt>
                <c:pt idx="7">
                  <c:v>896</c:v>
                </c:pt>
                <c:pt idx="8">
                  <c:v>1098</c:v>
                </c:pt>
                <c:pt idx="9">
                  <c:v>1108</c:v>
                </c:pt>
                <c:pt idx="10">
                  <c:v>1310</c:v>
                </c:pt>
                <c:pt idx="11">
                  <c:v>1320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C7-4B3D-891C-34DFF96DD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805944"/>
        <c:axId val="1"/>
      </c:scatterChart>
      <c:valAx>
        <c:axId val="580805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805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18</xdr:col>
      <xdr:colOff>142875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436B1F-166C-DFDE-B392-1C271701F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28" customFormat="1" ht="20.25" x14ac:dyDescent="0.2">
      <c r="A1" s="59" t="s">
        <v>51</v>
      </c>
      <c r="F1" s="22" t="s">
        <v>48</v>
      </c>
      <c r="G1" s="6">
        <v>5.5135199999999998</v>
      </c>
      <c r="H1" s="7">
        <v>16.015699999999999</v>
      </c>
      <c r="I1" s="23">
        <v>29641.233065999997</v>
      </c>
      <c r="J1" s="24">
        <v>5.2693399999999997</v>
      </c>
      <c r="K1" s="5" t="s">
        <v>49</v>
      </c>
      <c r="L1" s="7"/>
      <c r="M1" s="8">
        <v>29641.233065999997</v>
      </c>
      <c r="N1" s="8">
        <v>5.2693399999999997</v>
      </c>
      <c r="O1" s="9" t="s">
        <v>49</v>
      </c>
    </row>
    <row r="2" spans="1:15" s="28" customFormat="1" ht="12.95" customHeight="1" x14ac:dyDescent="0.2">
      <c r="A2" s="28" t="s">
        <v>23</v>
      </c>
      <c r="B2" s="28" t="s">
        <v>49</v>
      </c>
      <c r="C2" s="29"/>
      <c r="D2" s="30"/>
    </row>
    <row r="3" spans="1:15" s="28" customFormat="1" ht="12.95" customHeight="1" thickBot="1" x14ac:dyDescent="0.25"/>
    <row r="4" spans="1:15" s="28" customFormat="1" ht="12.95" customHeight="1" thickTop="1" thickBot="1" x14ac:dyDescent="0.25">
      <c r="A4" s="31" t="s">
        <v>0</v>
      </c>
      <c r="C4" s="32">
        <v>29641.759999999998</v>
      </c>
      <c r="D4" s="33">
        <v>5.2693399999999997</v>
      </c>
    </row>
    <row r="5" spans="1:15" s="28" customFormat="1" ht="12.95" customHeight="1" thickTop="1" x14ac:dyDescent="0.2">
      <c r="A5" s="34" t="s">
        <v>28</v>
      </c>
      <c r="C5" s="35">
        <v>-9.5</v>
      </c>
      <c r="D5" s="28" t="s">
        <v>29</v>
      </c>
    </row>
    <row r="6" spans="1:15" s="28" customFormat="1" ht="12.95" customHeight="1" x14ac:dyDescent="0.2">
      <c r="A6" s="31" t="s">
        <v>1</v>
      </c>
    </row>
    <row r="7" spans="1:15" s="28" customFormat="1" ht="12.95" customHeight="1" x14ac:dyDescent="0.2">
      <c r="A7" s="28" t="s">
        <v>2</v>
      </c>
      <c r="C7" s="60">
        <v>29641.233065999997</v>
      </c>
      <c r="D7" s="37" t="s">
        <v>50</v>
      </c>
    </row>
    <row r="8" spans="1:15" s="28" customFormat="1" ht="12.95" customHeight="1" x14ac:dyDescent="0.2">
      <c r="A8" s="28" t="s">
        <v>3</v>
      </c>
      <c r="C8" s="60">
        <v>5.2693399999999997</v>
      </c>
      <c r="D8" s="37" t="s">
        <v>50</v>
      </c>
    </row>
    <row r="9" spans="1:15" s="28" customFormat="1" ht="12.95" customHeight="1" x14ac:dyDescent="0.2">
      <c r="A9" s="38" t="s">
        <v>32</v>
      </c>
      <c r="C9" s="39">
        <v>21</v>
      </c>
      <c r="D9" s="40" t="str">
        <f>"F"&amp;C9</f>
        <v>F21</v>
      </c>
      <c r="E9" s="41" t="str">
        <f>"G"&amp;C9</f>
        <v>G21</v>
      </c>
    </row>
    <row r="10" spans="1:15" s="28" customFormat="1" ht="12.95" customHeight="1" thickBot="1" x14ac:dyDescent="0.25">
      <c r="C10" s="42" t="s">
        <v>19</v>
      </c>
      <c r="D10" s="42" t="s">
        <v>20</v>
      </c>
    </row>
    <row r="11" spans="1:15" s="28" customFormat="1" ht="12.95" customHeight="1" x14ac:dyDescent="0.2">
      <c r="A11" s="28" t="s">
        <v>15</v>
      </c>
      <c r="C11" s="41">
        <f ca="1">INTERCEPT(INDIRECT($E$9):G992,INDIRECT($D$9):F992)</f>
        <v>0.38824761392579993</v>
      </c>
      <c r="D11" s="30"/>
    </row>
    <row r="12" spans="1:15" s="28" customFormat="1" ht="12.95" customHeight="1" x14ac:dyDescent="0.2">
      <c r="A12" s="28" t="s">
        <v>16</v>
      </c>
      <c r="C12" s="41">
        <f ca="1">SLOPE(INDIRECT($E$9):G992,INDIRECT($D$9):F992)</f>
        <v>1.9016773123022916E-4</v>
      </c>
      <c r="D12" s="30"/>
    </row>
    <row r="13" spans="1:15" s="28" customFormat="1" ht="12.95" customHeight="1" x14ac:dyDescent="0.2">
      <c r="A13" s="28" t="s">
        <v>18</v>
      </c>
      <c r="C13" s="30" t="s">
        <v>13</v>
      </c>
    </row>
    <row r="14" spans="1:15" s="28" customFormat="1" ht="12.95" customHeight="1" x14ac:dyDescent="0.2"/>
    <row r="15" spans="1:15" s="28" customFormat="1" ht="12.95" customHeight="1" x14ac:dyDescent="0.2">
      <c r="A15" s="43" t="s">
        <v>17</v>
      </c>
      <c r="C15" s="44">
        <f ca="1">(C7+C11)+(C8+C12)*INT(MAX(F21:F3533))</f>
        <v>36597.401135019143</v>
      </c>
      <c r="E15" s="45" t="s">
        <v>34</v>
      </c>
      <c r="F15" s="46">
        <v>1</v>
      </c>
    </row>
    <row r="16" spans="1:15" s="28" customFormat="1" ht="12.95" customHeight="1" x14ac:dyDescent="0.2">
      <c r="A16" s="31" t="s">
        <v>4</v>
      </c>
      <c r="C16" s="47">
        <f ca="1">+C8+C12</f>
        <v>5.2695301677312303</v>
      </c>
      <c r="E16" s="45" t="s">
        <v>30</v>
      </c>
      <c r="F16" s="47">
        <f ca="1">NOW()+15018.5+$C$5/24</f>
        <v>60376.74520798611</v>
      </c>
    </row>
    <row r="17" spans="1:21" s="28" customFormat="1" ht="12.95" customHeight="1" thickBot="1" x14ac:dyDescent="0.25">
      <c r="A17" s="45" t="s">
        <v>27</v>
      </c>
      <c r="C17" s="28">
        <f>COUNT(C21:C2191)</f>
        <v>12</v>
      </c>
      <c r="E17" s="45" t="s">
        <v>35</v>
      </c>
      <c r="F17" s="48">
        <f ca="1">ROUND(2*(F16-$C$7)/$C$8,0)/2+F15</f>
        <v>5834</v>
      </c>
    </row>
    <row r="18" spans="1:21" s="28" customFormat="1" ht="12.95" customHeight="1" thickTop="1" thickBot="1" x14ac:dyDescent="0.25">
      <c r="A18" s="31" t="s">
        <v>5</v>
      </c>
      <c r="C18" s="49">
        <f ca="1">+C15</f>
        <v>36597.401135019143</v>
      </c>
      <c r="D18" s="50">
        <f ca="1">+C16</f>
        <v>5.2695301677312303</v>
      </c>
      <c r="E18" s="45" t="s">
        <v>36</v>
      </c>
      <c r="F18" s="41">
        <f ca="1">ROUND(2*(F16-$C$15)/$C$16,0)/2+F15</f>
        <v>4513.5</v>
      </c>
    </row>
    <row r="19" spans="1:21" s="28" customFormat="1" ht="12.95" customHeight="1" thickTop="1" x14ac:dyDescent="0.2">
      <c r="E19" s="45" t="s">
        <v>31</v>
      </c>
      <c r="F19" s="51">
        <f ca="1">+$C$15+$C$16*F18-15018.5-$C$5/24</f>
        <v>45363.321380407382</v>
      </c>
    </row>
    <row r="20" spans="1:21" s="28" customFormat="1" ht="12.95" customHeight="1" thickBot="1" x14ac:dyDescent="0.25">
      <c r="A20" s="42" t="s">
        <v>6</v>
      </c>
      <c r="B20" s="42" t="s">
        <v>7</v>
      </c>
      <c r="C20" s="42" t="s">
        <v>8</v>
      </c>
      <c r="D20" s="42" t="s">
        <v>12</v>
      </c>
      <c r="E20" s="42" t="s">
        <v>9</v>
      </c>
      <c r="F20" s="42" t="s">
        <v>10</v>
      </c>
      <c r="G20" s="42" t="s">
        <v>11</v>
      </c>
      <c r="H20" s="52" t="s">
        <v>37</v>
      </c>
      <c r="I20" s="52" t="s">
        <v>38</v>
      </c>
      <c r="J20" s="52" t="s">
        <v>39</v>
      </c>
      <c r="K20" s="52" t="s">
        <v>40</v>
      </c>
      <c r="L20" s="52" t="s">
        <v>24</v>
      </c>
      <c r="M20" s="52" t="s">
        <v>25</v>
      </c>
      <c r="N20" s="52" t="s">
        <v>26</v>
      </c>
      <c r="O20" s="52" t="s">
        <v>22</v>
      </c>
      <c r="P20" s="53" t="s">
        <v>21</v>
      </c>
      <c r="Q20" s="42" t="s">
        <v>14</v>
      </c>
      <c r="U20" s="54" t="s">
        <v>33</v>
      </c>
    </row>
    <row r="21" spans="1:21" s="28" customFormat="1" ht="12.95" customHeight="1" x14ac:dyDescent="0.2">
      <c r="A21" s="28" t="s">
        <v>50</v>
      </c>
      <c r="C21" s="36">
        <v>29641.233065999997</v>
      </c>
      <c r="D21" s="36" t="s">
        <v>13</v>
      </c>
      <c r="E21" s="28">
        <f>+(C21-C$7)/C$8</f>
        <v>0</v>
      </c>
      <c r="F21" s="28">
        <f>ROUND(2*E21,0)/2</f>
        <v>0</v>
      </c>
      <c r="G21" s="28">
        <f>+C21-(C$7+F21*C$8)</f>
        <v>0</v>
      </c>
      <c r="H21" s="28">
        <f>+G21</f>
        <v>0</v>
      </c>
      <c r="O21" s="28">
        <f ca="1">+C$11+C$12*$F21</f>
        <v>0.38824761392579993</v>
      </c>
      <c r="Q21" s="55">
        <f>+C21-15018.5</f>
        <v>14622.733065999997</v>
      </c>
    </row>
    <row r="22" spans="1:21" s="28" customFormat="1" ht="12.95" customHeight="1" x14ac:dyDescent="0.2">
      <c r="A22" s="56" t="s">
        <v>57</v>
      </c>
      <c r="B22" s="57" t="s">
        <v>89</v>
      </c>
      <c r="C22" s="58">
        <v>29641.56</v>
      </c>
      <c r="D22" s="36"/>
      <c r="E22" s="28">
        <f t="shared" ref="E22:E32" si="0">+(C22-C$7)/C$8</f>
        <v>6.2044582434281632E-2</v>
      </c>
      <c r="F22" s="28">
        <f t="shared" ref="F22:F32" si="1">ROUND(2*E22,0)/2</f>
        <v>0</v>
      </c>
      <c r="G22" s="28">
        <f t="shared" ref="G22:G32" si="2">+C22-(C$7+F22*C$8)</f>
        <v>0.32693400000425754</v>
      </c>
      <c r="H22" s="28">
        <f t="shared" ref="H22:H32" si="3">+G22</f>
        <v>0.32693400000425754</v>
      </c>
      <c r="O22" s="28">
        <f t="shared" ref="O22:O32" ca="1" si="4">+C$11+C$12*$F22</f>
        <v>0.38824761392579993</v>
      </c>
      <c r="Q22" s="55">
        <f t="shared" ref="Q22:Q32" si="5">+C22-15018.5</f>
        <v>14623.060000000001</v>
      </c>
    </row>
    <row r="23" spans="1:21" s="28" customFormat="1" ht="12.95" customHeight="1" x14ac:dyDescent="0.2">
      <c r="A23" s="56" t="s">
        <v>57</v>
      </c>
      <c r="B23" s="57" t="s">
        <v>89</v>
      </c>
      <c r="C23" s="58">
        <v>30321.56</v>
      </c>
      <c r="D23" s="36"/>
      <c r="E23" s="28">
        <f t="shared" si="0"/>
        <v>129.1104643086239</v>
      </c>
      <c r="F23" s="28">
        <f t="shared" si="1"/>
        <v>129</v>
      </c>
      <c r="G23" s="28">
        <f t="shared" si="2"/>
        <v>0.58207400000537746</v>
      </c>
      <c r="H23" s="28">
        <f t="shared" si="3"/>
        <v>0.58207400000537746</v>
      </c>
      <c r="O23" s="28">
        <f t="shared" ca="1" si="4"/>
        <v>0.41277925125449949</v>
      </c>
      <c r="Q23" s="55">
        <f t="shared" si="5"/>
        <v>15303.060000000001</v>
      </c>
    </row>
    <row r="24" spans="1:21" s="28" customFormat="1" ht="12.95" customHeight="1" x14ac:dyDescent="0.2">
      <c r="A24" s="56" t="s">
        <v>57</v>
      </c>
      <c r="B24" s="57" t="s">
        <v>89</v>
      </c>
      <c r="C24" s="58">
        <v>30326.68</v>
      </c>
      <c r="D24" s="36"/>
      <c r="E24" s="28">
        <f t="shared" si="0"/>
        <v>130.08212299832678</v>
      </c>
      <c r="F24" s="28">
        <f t="shared" si="1"/>
        <v>130</v>
      </c>
      <c r="G24" s="28">
        <f t="shared" si="2"/>
        <v>0.43273400000180118</v>
      </c>
      <c r="H24" s="28">
        <f t="shared" si="3"/>
        <v>0.43273400000180118</v>
      </c>
      <c r="O24" s="28">
        <f t="shared" ca="1" si="4"/>
        <v>0.4129694189857297</v>
      </c>
      <c r="Q24" s="55">
        <f t="shared" si="5"/>
        <v>15308.18</v>
      </c>
    </row>
    <row r="25" spans="1:21" s="28" customFormat="1" ht="12.95" customHeight="1" x14ac:dyDescent="0.2">
      <c r="A25" s="56" t="s">
        <v>68</v>
      </c>
      <c r="B25" s="57" t="s">
        <v>89</v>
      </c>
      <c r="C25" s="58">
        <v>31470.333999999999</v>
      </c>
      <c r="D25" s="36"/>
      <c r="E25" s="28">
        <f t="shared" si="0"/>
        <v>347.1214486064672</v>
      </c>
      <c r="F25" s="28">
        <f t="shared" si="1"/>
        <v>347</v>
      </c>
      <c r="G25" s="28">
        <f t="shared" si="2"/>
        <v>0.63995400000203517</v>
      </c>
      <c r="H25" s="28">
        <f t="shared" si="3"/>
        <v>0.63995400000203517</v>
      </c>
      <c r="O25" s="28">
        <f t="shared" ca="1" si="4"/>
        <v>0.45423581666268942</v>
      </c>
      <c r="Q25" s="55">
        <f t="shared" si="5"/>
        <v>16451.833999999999</v>
      </c>
    </row>
    <row r="26" spans="1:21" s="28" customFormat="1" ht="12.95" customHeight="1" x14ac:dyDescent="0.2">
      <c r="A26" s="56" t="s">
        <v>57</v>
      </c>
      <c r="B26" s="57" t="s">
        <v>89</v>
      </c>
      <c r="C26" s="58">
        <v>31823.29</v>
      </c>
      <c r="D26" s="36"/>
      <c r="E26" s="28">
        <f t="shared" si="0"/>
        <v>414.10441041952197</v>
      </c>
      <c r="F26" s="28">
        <f t="shared" si="1"/>
        <v>414</v>
      </c>
      <c r="G26" s="28">
        <f t="shared" si="2"/>
        <v>0.55017400000360794</v>
      </c>
      <c r="H26" s="28">
        <f t="shared" si="3"/>
        <v>0.55017400000360794</v>
      </c>
      <c r="O26" s="28">
        <f t="shared" ca="1" si="4"/>
        <v>0.4669770546551148</v>
      </c>
      <c r="Q26" s="55">
        <f t="shared" si="5"/>
        <v>16804.79</v>
      </c>
    </row>
    <row r="27" spans="1:21" s="28" customFormat="1" ht="12.95" customHeight="1" x14ac:dyDescent="0.2">
      <c r="A27" s="56" t="s">
        <v>57</v>
      </c>
      <c r="B27" s="57" t="s">
        <v>89</v>
      </c>
      <c r="C27" s="58">
        <v>31844.3</v>
      </c>
      <c r="D27" s="36"/>
      <c r="E27" s="28">
        <f t="shared" si="0"/>
        <v>418.09162703488528</v>
      </c>
      <c r="F27" s="28">
        <f t="shared" si="1"/>
        <v>418</v>
      </c>
      <c r="G27" s="28">
        <f t="shared" si="2"/>
        <v>0.48281400000269059</v>
      </c>
      <c r="H27" s="28">
        <f t="shared" si="3"/>
        <v>0.48281400000269059</v>
      </c>
      <c r="O27" s="28">
        <f t="shared" ca="1" si="4"/>
        <v>0.46773772558003573</v>
      </c>
      <c r="Q27" s="55">
        <f t="shared" si="5"/>
        <v>16825.8</v>
      </c>
    </row>
    <row r="28" spans="1:21" s="28" customFormat="1" ht="12.95" customHeight="1" x14ac:dyDescent="0.2">
      <c r="A28" s="56" t="s">
        <v>57</v>
      </c>
      <c r="B28" s="57" t="s">
        <v>89</v>
      </c>
      <c r="C28" s="58">
        <v>34363.379999999997</v>
      </c>
      <c r="D28" s="36"/>
      <c r="E28" s="28">
        <f t="shared" si="0"/>
        <v>896.15529345231107</v>
      </c>
      <c r="F28" s="28">
        <f t="shared" si="1"/>
        <v>896</v>
      </c>
      <c r="G28" s="28">
        <f t="shared" si="2"/>
        <v>0.81829400000424357</v>
      </c>
      <c r="H28" s="28">
        <f t="shared" si="3"/>
        <v>0.81829400000424357</v>
      </c>
      <c r="O28" s="28">
        <f t="shared" ca="1" si="4"/>
        <v>0.55863790110808531</v>
      </c>
      <c r="Q28" s="55">
        <f t="shared" si="5"/>
        <v>19344.879999999997</v>
      </c>
    </row>
    <row r="29" spans="1:21" s="28" customFormat="1" ht="12.95" customHeight="1" x14ac:dyDescent="0.2">
      <c r="A29" s="56" t="s">
        <v>57</v>
      </c>
      <c r="B29" s="57" t="s">
        <v>89</v>
      </c>
      <c r="C29" s="58">
        <v>35427.5</v>
      </c>
      <c r="D29" s="36"/>
      <c r="E29" s="28">
        <f t="shared" si="0"/>
        <v>1098.1008881567716</v>
      </c>
      <c r="F29" s="28">
        <f t="shared" si="1"/>
        <v>1098</v>
      </c>
      <c r="G29" s="28">
        <f t="shared" si="2"/>
        <v>0.53161400000681169</v>
      </c>
      <c r="H29" s="28">
        <f t="shared" si="3"/>
        <v>0.53161400000681169</v>
      </c>
      <c r="O29" s="28">
        <f t="shared" ca="1" si="4"/>
        <v>0.59705178281659155</v>
      </c>
      <c r="Q29" s="55">
        <f t="shared" si="5"/>
        <v>20409</v>
      </c>
    </row>
    <row r="30" spans="1:21" s="28" customFormat="1" ht="12.95" customHeight="1" x14ac:dyDescent="0.2">
      <c r="A30" s="56" t="s">
        <v>57</v>
      </c>
      <c r="B30" s="57" t="s">
        <v>89</v>
      </c>
      <c r="C30" s="58">
        <v>35480.28</v>
      </c>
      <c r="D30" s="36"/>
      <c r="E30" s="28">
        <f t="shared" si="0"/>
        <v>1108.1173228525777</v>
      </c>
      <c r="F30" s="28">
        <f t="shared" si="1"/>
        <v>1108</v>
      </c>
      <c r="G30" s="28">
        <f t="shared" si="2"/>
        <v>0.61821400000189897</v>
      </c>
      <c r="H30" s="28">
        <f t="shared" si="3"/>
        <v>0.61821400000189897</v>
      </c>
      <c r="O30" s="28">
        <f t="shared" ca="1" si="4"/>
        <v>0.59895346012889383</v>
      </c>
      <c r="Q30" s="55">
        <f t="shared" si="5"/>
        <v>20461.78</v>
      </c>
    </row>
    <row r="31" spans="1:21" s="28" customFormat="1" ht="12.95" customHeight="1" x14ac:dyDescent="0.2">
      <c r="A31" s="56" t="s">
        <v>57</v>
      </c>
      <c r="B31" s="57" t="s">
        <v>89</v>
      </c>
      <c r="C31" s="58">
        <v>36544.6</v>
      </c>
      <c r="D31" s="36"/>
      <c r="E31" s="28">
        <f t="shared" si="0"/>
        <v>1310.1008729746045</v>
      </c>
      <c r="F31" s="28">
        <f t="shared" si="1"/>
        <v>1310</v>
      </c>
      <c r="G31" s="28">
        <f t="shared" si="2"/>
        <v>0.53153400000155671</v>
      </c>
      <c r="H31" s="28">
        <f t="shared" si="3"/>
        <v>0.53153400000155671</v>
      </c>
      <c r="O31" s="28">
        <f t="shared" ca="1" si="4"/>
        <v>0.63736734183740018</v>
      </c>
      <c r="Q31" s="55">
        <f t="shared" si="5"/>
        <v>21526.1</v>
      </c>
    </row>
    <row r="32" spans="1:21" x14ac:dyDescent="0.2">
      <c r="A32" s="25" t="s">
        <v>57</v>
      </c>
      <c r="B32" s="27" t="s">
        <v>89</v>
      </c>
      <c r="C32" s="26">
        <v>36597.269999999997</v>
      </c>
      <c r="D32" s="3"/>
      <c r="E32">
        <f t="shared" si="0"/>
        <v>1320.0964321907488</v>
      </c>
      <c r="F32">
        <f t="shared" si="1"/>
        <v>1320</v>
      </c>
      <c r="G32">
        <f t="shared" si="2"/>
        <v>0.5081339999960619</v>
      </c>
      <c r="H32">
        <f t="shared" si="3"/>
        <v>0.5081339999960619</v>
      </c>
      <c r="O32">
        <f t="shared" ca="1" si="4"/>
        <v>0.63926901914970236</v>
      </c>
      <c r="Q32" s="1">
        <f t="shared" si="5"/>
        <v>21578.769999999997</v>
      </c>
    </row>
    <row r="33" spans="3:17" x14ac:dyDescent="0.2">
      <c r="C33" s="3"/>
      <c r="D33" s="3"/>
      <c r="Q33" s="1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2"/>
  <sheetViews>
    <sheetView workbookViewId="0">
      <selection activeCell="A11" sqref="A11:C21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0" t="s">
        <v>41</v>
      </c>
      <c r="I1" s="11" t="s">
        <v>42</v>
      </c>
      <c r="J1" s="12" t="s">
        <v>40</v>
      </c>
    </row>
    <row r="2" spans="1:16" x14ac:dyDescent="0.2">
      <c r="I2" s="13" t="s">
        <v>43</v>
      </c>
      <c r="J2" s="14" t="s">
        <v>39</v>
      </c>
    </row>
    <row r="3" spans="1:16" x14ac:dyDescent="0.2">
      <c r="A3" s="15" t="s">
        <v>44</v>
      </c>
      <c r="I3" s="13" t="s">
        <v>45</v>
      </c>
      <c r="J3" s="14" t="s">
        <v>37</v>
      </c>
    </row>
    <row r="4" spans="1:16" x14ac:dyDescent="0.2">
      <c r="I4" s="13" t="s">
        <v>46</v>
      </c>
      <c r="J4" s="14" t="s">
        <v>37</v>
      </c>
    </row>
    <row r="5" spans="1:16" ht="13.5" thickBot="1" x14ac:dyDescent="0.25">
      <c r="I5" s="16" t="s">
        <v>47</v>
      </c>
      <c r="J5" s="17" t="s">
        <v>38</v>
      </c>
    </row>
    <row r="10" spans="1:16" ht="13.5" thickBot="1" x14ac:dyDescent="0.25"/>
    <row r="11" spans="1:16" ht="12.75" customHeight="1" thickBot="1" x14ac:dyDescent="0.25">
      <c r="A11" s="3" t="str">
        <f t="shared" ref="A11:A21" si="0">P11</f>
        <v> MVS 717 </v>
      </c>
      <c r="B11" s="2" t="str">
        <f t="shared" ref="B11:B21" si="1">IF(H11=INT(H11),"I","II")</f>
        <v>I</v>
      </c>
      <c r="C11" s="3">
        <f t="shared" ref="C11:C21" si="2">1*G11</f>
        <v>29641.56</v>
      </c>
      <c r="D11" s="4" t="str">
        <f t="shared" ref="D11:D21" si="3">VLOOKUP(F11,I$1:J$5,2,FALSE)</f>
        <v>vis</v>
      </c>
      <c r="E11" s="18">
        <f>VLOOKUP(C11,Active!C$21:E$973,3,FALSE)</f>
        <v>6.2044582434281632E-2</v>
      </c>
      <c r="F11" s="2" t="s">
        <v>47</v>
      </c>
      <c r="G11" s="4" t="str">
        <f t="shared" ref="G11:G21" si="4">MID(I11,3,LEN(I11)-3)</f>
        <v>29641.56</v>
      </c>
      <c r="H11" s="3">
        <f t="shared" ref="H11:H21" si="5">1*K11</f>
        <v>0</v>
      </c>
      <c r="I11" s="19" t="s">
        <v>52</v>
      </c>
      <c r="J11" s="20" t="s">
        <v>53</v>
      </c>
      <c r="K11" s="19">
        <v>0</v>
      </c>
      <c r="L11" s="19" t="s">
        <v>54</v>
      </c>
      <c r="M11" s="20" t="s">
        <v>55</v>
      </c>
      <c r="N11" s="20"/>
      <c r="O11" s="21" t="s">
        <v>56</v>
      </c>
      <c r="P11" s="21" t="s">
        <v>57</v>
      </c>
    </row>
    <row r="12" spans="1:16" ht="12.75" customHeight="1" thickBot="1" x14ac:dyDescent="0.25">
      <c r="A12" s="3" t="str">
        <f t="shared" si="0"/>
        <v> MVS 717 </v>
      </c>
      <c r="B12" s="2" t="str">
        <f t="shared" si="1"/>
        <v>I</v>
      </c>
      <c r="C12" s="3">
        <f t="shared" si="2"/>
        <v>30321.56</v>
      </c>
      <c r="D12" s="4" t="str">
        <f t="shared" si="3"/>
        <v>vis</v>
      </c>
      <c r="E12" s="18">
        <f>VLOOKUP(C12,Active!C$21:E$973,3,FALSE)</f>
        <v>129.1104643086239</v>
      </c>
      <c r="F12" s="2" t="s">
        <v>47</v>
      </c>
      <c r="G12" s="4" t="str">
        <f t="shared" si="4"/>
        <v>30321.56</v>
      </c>
      <c r="H12" s="3">
        <f t="shared" si="5"/>
        <v>129</v>
      </c>
      <c r="I12" s="19" t="s">
        <v>58</v>
      </c>
      <c r="J12" s="20" t="s">
        <v>59</v>
      </c>
      <c r="K12" s="19">
        <v>129</v>
      </c>
      <c r="L12" s="19" t="s">
        <v>60</v>
      </c>
      <c r="M12" s="20" t="s">
        <v>55</v>
      </c>
      <c r="N12" s="20"/>
      <c r="O12" s="21" t="s">
        <v>56</v>
      </c>
      <c r="P12" s="21" t="s">
        <v>57</v>
      </c>
    </row>
    <row r="13" spans="1:16" ht="12.75" customHeight="1" thickBot="1" x14ac:dyDescent="0.25">
      <c r="A13" s="3" t="str">
        <f t="shared" si="0"/>
        <v> MVS 717 </v>
      </c>
      <c r="B13" s="2" t="str">
        <f t="shared" si="1"/>
        <v>I</v>
      </c>
      <c r="C13" s="3">
        <f t="shared" si="2"/>
        <v>30326.68</v>
      </c>
      <c r="D13" s="4" t="str">
        <f t="shared" si="3"/>
        <v>vis</v>
      </c>
      <c r="E13" s="18">
        <f>VLOOKUP(C13,Active!C$21:E$973,3,FALSE)</f>
        <v>130.08212299832678</v>
      </c>
      <c r="F13" s="2" t="s">
        <v>47</v>
      </c>
      <c r="G13" s="4" t="str">
        <f t="shared" si="4"/>
        <v>30326.68</v>
      </c>
      <c r="H13" s="3">
        <f t="shared" si="5"/>
        <v>130</v>
      </c>
      <c r="I13" s="19" t="s">
        <v>61</v>
      </c>
      <c r="J13" s="20" t="s">
        <v>62</v>
      </c>
      <c r="K13" s="19">
        <v>130</v>
      </c>
      <c r="L13" s="19" t="s">
        <v>63</v>
      </c>
      <c r="M13" s="20" t="s">
        <v>55</v>
      </c>
      <c r="N13" s="20"/>
      <c r="O13" s="21" t="s">
        <v>56</v>
      </c>
      <c r="P13" s="21" t="s">
        <v>57</v>
      </c>
    </row>
    <row r="14" spans="1:16" ht="12.75" customHeight="1" thickBot="1" x14ac:dyDescent="0.25">
      <c r="A14" s="3" t="str">
        <f t="shared" si="0"/>
        <v> VSS 1.495 </v>
      </c>
      <c r="B14" s="2" t="str">
        <f t="shared" si="1"/>
        <v>I</v>
      </c>
      <c r="C14" s="3">
        <f t="shared" si="2"/>
        <v>31470.333999999999</v>
      </c>
      <c r="D14" s="4" t="str">
        <f t="shared" si="3"/>
        <v>vis</v>
      </c>
      <c r="E14" s="18">
        <f>VLOOKUP(C14,Active!C$21:E$973,3,FALSE)</f>
        <v>347.1214486064672</v>
      </c>
      <c r="F14" s="2" t="s">
        <v>47</v>
      </c>
      <c r="G14" s="4" t="str">
        <f t="shared" si="4"/>
        <v>31470.334</v>
      </c>
      <c r="H14" s="3">
        <f t="shared" si="5"/>
        <v>347</v>
      </c>
      <c r="I14" s="19" t="s">
        <v>64</v>
      </c>
      <c r="J14" s="20" t="s">
        <v>65</v>
      </c>
      <c r="K14" s="19">
        <v>347</v>
      </c>
      <c r="L14" s="19" t="s">
        <v>66</v>
      </c>
      <c r="M14" s="20" t="s">
        <v>55</v>
      </c>
      <c r="N14" s="20"/>
      <c r="O14" s="21" t="s">
        <v>67</v>
      </c>
      <c r="P14" s="21" t="s">
        <v>68</v>
      </c>
    </row>
    <row r="15" spans="1:16" ht="12.75" customHeight="1" thickBot="1" x14ac:dyDescent="0.25">
      <c r="A15" s="3" t="str">
        <f t="shared" si="0"/>
        <v> MVS 717 </v>
      </c>
      <c r="B15" s="2" t="str">
        <f t="shared" si="1"/>
        <v>I</v>
      </c>
      <c r="C15" s="3">
        <f t="shared" si="2"/>
        <v>31823.29</v>
      </c>
      <c r="D15" s="4" t="str">
        <f t="shared" si="3"/>
        <v>vis</v>
      </c>
      <c r="E15" s="18">
        <f>VLOOKUP(C15,Active!C$21:E$973,3,FALSE)</f>
        <v>414.10441041952197</v>
      </c>
      <c r="F15" s="2" t="s">
        <v>47</v>
      </c>
      <c r="G15" s="4" t="str">
        <f t="shared" si="4"/>
        <v>31823.29</v>
      </c>
      <c r="H15" s="3">
        <f t="shared" si="5"/>
        <v>414</v>
      </c>
      <c r="I15" s="19" t="s">
        <v>69</v>
      </c>
      <c r="J15" s="20" t="s">
        <v>70</v>
      </c>
      <c r="K15" s="19">
        <v>414</v>
      </c>
      <c r="L15" s="19" t="s">
        <v>71</v>
      </c>
      <c r="M15" s="20" t="s">
        <v>55</v>
      </c>
      <c r="N15" s="20"/>
      <c r="O15" s="21" t="s">
        <v>56</v>
      </c>
      <c r="P15" s="21" t="s">
        <v>57</v>
      </c>
    </row>
    <row r="16" spans="1:16" ht="12.75" customHeight="1" thickBot="1" x14ac:dyDescent="0.25">
      <c r="A16" s="3" t="str">
        <f t="shared" si="0"/>
        <v> MVS 717 </v>
      </c>
      <c r="B16" s="2" t="str">
        <f t="shared" si="1"/>
        <v>I</v>
      </c>
      <c r="C16" s="3">
        <f t="shared" si="2"/>
        <v>31844.3</v>
      </c>
      <c r="D16" s="4" t="str">
        <f t="shared" si="3"/>
        <v>vis</v>
      </c>
      <c r="E16" s="18">
        <f>VLOOKUP(C16,Active!C$21:E$973,3,FALSE)</f>
        <v>418.09162703488528</v>
      </c>
      <c r="F16" s="2" t="s">
        <v>47</v>
      </c>
      <c r="G16" s="4" t="str">
        <f t="shared" si="4"/>
        <v>31844.30</v>
      </c>
      <c r="H16" s="3">
        <f t="shared" si="5"/>
        <v>418</v>
      </c>
      <c r="I16" s="19" t="s">
        <v>72</v>
      </c>
      <c r="J16" s="20" t="s">
        <v>73</v>
      </c>
      <c r="K16" s="19">
        <v>418</v>
      </c>
      <c r="L16" s="19" t="s">
        <v>74</v>
      </c>
      <c r="M16" s="20" t="s">
        <v>55</v>
      </c>
      <c r="N16" s="20"/>
      <c r="O16" s="21" t="s">
        <v>56</v>
      </c>
      <c r="P16" s="21" t="s">
        <v>57</v>
      </c>
    </row>
    <row r="17" spans="1:16" ht="12.75" customHeight="1" thickBot="1" x14ac:dyDescent="0.25">
      <c r="A17" s="3" t="str">
        <f t="shared" si="0"/>
        <v> MVS 717 </v>
      </c>
      <c r="B17" s="2" t="str">
        <f t="shared" si="1"/>
        <v>I</v>
      </c>
      <c r="C17" s="3">
        <f t="shared" si="2"/>
        <v>34363.379999999997</v>
      </c>
      <c r="D17" s="4" t="str">
        <f t="shared" si="3"/>
        <v>vis</v>
      </c>
      <c r="E17" s="18">
        <f>VLOOKUP(C17,Active!C$21:E$973,3,FALSE)</f>
        <v>896.15529345231107</v>
      </c>
      <c r="F17" s="2" t="s">
        <v>47</v>
      </c>
      <c r="G17" s="4" t="str">
        <f t="shared" si="4"/>
        <v>34363.38</v>
      </c>
      <c r="H17" s="3">
        <f t="shared" si="5"/>
        <v>896</v>
      </c>
      <c r="I17" s="19" t="s">
        <v>75</v>
      </c>
      <c r="J17" s="20" t="s">
        <v>76</v>
      </c>
      <c r="K17" s="19">
        <v>896</v>
      </c>
      <c r="L17" s="19" t="s">
        <v>77</v>
      </c>
      <c r="M17" s="20" t="s">
        <v>55</v>
      </c>
      <c r="N17" s="20"/>
      <c r="O17" s="21" t="s">
        <v>56</v>
      </c>
      <c r="P17" s="21" t="s">
        <v>57</v>
      </c>
    </row>
    <row r="18" spans="1:16" ht="12.75" customHeight="1" thickBot="1" x14ac:dyDescent="0.25">
      <c r="A18" s="3" t="str">
        <f t="shared" si="0"/>
        <v> MVS 717 </v>
      </c>
      <c r="B18" s="2" t="str">
        <f t="shared" si="1"/>
        <v>I</v>
      </c>
      <c r="C18" s="3">
        <f t="shared" si="2"/>
        <v>35427.5</v>
      </c>
      <c r="D18" s="4" t="str">
        <f t="shared" si="3"/>
        <v>vis</v>
      </c>
      <c r="E18" s="18">
        <f>VLOOKUP(C18,Active!C$21:E$973,3,FALSE)</f>
        <v>1098.1008881567716</v>
      </c>
      <c r="F18" s="2" t="s">
        <v>47</v>
      </c>
      <c r="G18" s="4" t="str">
        <f t="shared" si="4"/>
        <v>35427.50</v>
      </c>
      <c r="H18" s="3">
        <f t="shared" si="5"/>
        <v>1098</v>
      </c>
      <c r="I18" s="19" t="s">
        <v>78</v>
      </c>
      <c r="J18" s="20" t="s">
        <v>79</v>
      </c>
      <c r="K18" s="19">
        <v>1098</v>
      </c>
      <c r="L18" s="19" t="s">
        <v>80</v>
      </c>
      <c r="M18" s="20" t="s">
        <v>55</v>
      </c>
      <c r="N18" s="20"/>
      <c r="O18" s="21" t="s">
        <v>56</v>
      </c>
      <c r="P18" s="21" t="s">
        <v>57</v>
      </c>
    </row>
    <row r="19" spans="1:16" ht="12.75" customHeight="1" thickBot="1" x14ac:dyDescent="0.25">
      <c r="A19" s="3" t="str">
        <f t="shared" si="0"/>
        <v> MVS 717 </v>
      </c>
      <c r="B19" s="2" t="str">
        <f t="shared" si="1"/>
        <v>I</v>
      </c>
      <c r="C19" s="3">
        <f t="shared" si="2"/>
        <v>35480.28</v>
      </c>
      <c r="D19" s="4" t="str">
        <f t="shared" si="3"/>
        <v>vis</v>
      </c>
      <c r="E19" s="18">
        <f>VLOOKUP(C19,Active!C$21:E$973,3,FALSE)</f>
        <v>1108.1173228525777</v>
      </c>
      <c r="F19" s="2" t="s">
        <v>47</v>
      </c>
      <c r="G19" s="4" t="str">
        <f t="shared" si="4"/>
        <v>35480.28</v>
      </c>
      <c r="H19" s="3">
        <f t="shared" si="5"/>
        <v>1108</v>
      </c>
      <c r="I19" s="19" t="s">
        <v>81</v>
      </c>
      <c r="J19" s="20" t="s">
        <v>82</v>
      </c>
      <c r="K19" s="19">
        <v>1108</v>
      </c>
      <c r="L19" s="19" t="s">
        <v>83</v>
      </c>
      <c r="M19" s="20" t="s">
        <v>55</v>
      </c>
      <c r="N19" s="20"/>
      <c r="O19" s="21" t="s">
        <v>56</v>
      </c>
      <c r="P19" s="21" t="s">
        <v>57</v>
      </c>
    </row>
    <row r="20" spans="1:16" ht="12.75" customHeight="1" thickBot="1" x14ac:dyDescent="0.25">
      <c r="A20" s="3" t="str">
        <f t="shared" si="0"/>
        <v> MVS 717 </v>
      </c>
      <c r="B20" s="2" t="str">
        <f t="shared" si="1"/>
        <v>I</v>
      </c>
      <c r="C20" s="3">
        <f t="shared" si="2"/>
        <v>36544.6</v>
      </c>
      <c r="D20" s="4" t="str">
        <f t="shared" si="3"/>
        <v>vis</v>
      </c>
      <c r="E20" s="18">
        <f>VLOOKUP(C20,Active!C$21:E$973,3,FALSE)</f>
        <v>1310.1008729746045</v>
      </c>
      <c r="F20" s="2" t="s">
        <v>47</v>
      </c>
      <c r="G20" s="4" t="str">
        <f t="shared" si="4"/>
        <v>36544.60</v>
      </c>
      <c r="H20" s="3">
        <f t="shared" si="5"/>
        <v>1310</v>
      </c>
      <c r="I20" s="19" t="s">
        <v>84</v>
      </c>
      <c r="J20" s="20" t="s">
        <v>85</v>
      </c>
      <c r="K20" s="19">
        <v>1310</v>
      </c>
      <c r="L20" s="19" t="s">
        <v>80</v>
      </c>
      <c r="M20" s="20" t="s">
        <v>55</v>
      </c>
      <c r="N20" s="20"/>
      <c r="O20" s="21" t="s">
        <v>56</v>
      </c>
      <c r="P20" s="21" t="s">
        <v>57</v>
      </c>
    </row>
    <row r="21" spans="1:16" ht="12.75" customHeight="1" thickBot="1" x14ac:dyDescent="0.25">
      <c r="A21" s="3" t="str">
        <f t="shared" si="0"/>
        <v> MVS 717 </v>
      </c>
      <c r="B21" s="2" t="str">
        <f t="shared" si="1"/>
        <v>I</v>
      </c>
      <c r="C21" s="3">
        <f t="shared" si="2"/>
        <v>36597.269999999997</v>
      </c>
      <c r="D21" s="4" t="str">
        <f t="shared" si="3"/>
        <v>vis</v>
      </c>
      <c r="E21" s="18">
        <f>VLOOKUP(C21,Active!C$21:E$973,3,FALSE)</f>
        <v>1320.0964321907488</v>
      </c>
      <c r="F21" s="2" t="s">
        <v>47</v>
      </c>
      <c r="G21" s="4" t="str">
        <f t="shared" si="4"/>
        <v>36597.27</v>
      </c>
      <c r="H21" s="3">
        <f t="shared" si="5"/>
        <v>1320</v>
      </c>
      <c r="I21" s="19" t="s">
        <v>86</v>
      </c>
      <c r="J21" s="20" t="s">
        <v>87</v>
      </c>
      <c r="K21" s="19">
        <v>1320</v>
      </c>
      <c r="L21" s="19" t="s">
        <v>88</v>
      </c>
      <c r="M21" s="20" t="s">
        <v>55</v>
      </c>
      <c r="N21" s="20"/>
      <c r="O21" s="21" t="s">
        <v>56</v>
      </c>
      <c r="P21" s="21" t="s">
        <v>57</v>
      </c>
    </row>
    <row r="22" spans="1:16" x14ac:dyDescent="0.2">
      <c r="B22" s="2"/>
      <c r="E22" s="18"/>
      <c r="F22" s="2"/>
    </row>
    <row r="23" spans="1:16" x14ac:dyDescent="0.2">
      <c r="B23" s="2"/>
      <c r="E23" s="18"/>
      <c r="F23" s="2"/>
    </row>
    <row r="24" spans="1:16" x14ac:dyDescent="0.2">
      <c r="B24" s="2"/>
      <c r="E24" s="18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2024-03-07T04:53:06Z</dcterms:modified>
</cp:coreProperties>
</file>