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765CFB8-8B1F-4ECE-AEC0-933F6DD629C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H25" i="1" s="1"/>
  <c r="Q25" i="1"/>
  <c r="C25" i="1"/>
  <c r="A25" i="1"/>
  <c r="G14" i="2"/>
  <c r="C14" i="2"/>
  <c r="E14" i="2"/>
  <c r="G13" i="2"/>
  <c r="C13" i="2"/>
  <c r="G12" i="2"/>
  <c r="C12" i="2"/>
  <c r="E12" i="2"/>
  <c r="G11" i="2"/>
  <c r="C11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E23" i="1"/>
  <c r="F23" i="1" s="1"/>
  <c r="G23" i="1" s="1"/>
  <c r="I23" i="1" s="1"/>
  <c r="E24" i="1"/>
  <c r="F24" i="1" s="1"/>
  <c r="G24" i="1" s="1"/>
  <c r="I24" i="1" s="1"/>
  <c r="F11" i="1"/>
  <c r="Q23" i="1"/>
  <c r="G11" i="1"/>
  <c r="E15" i="1"/>
  <c r="C17" i="1"/>
  <c r="Q24" i="1"/>
  <c r="E22" i="1"/>
  <c r="F22" i="1"/>
  <c r="G22" i="1" s="1"/>
  <c r="I22" i="1" s="1"/>
  <c r="E21" i="1"/>
  <c r="E11" i="2" s="1"/>
  <c r="F21" i="1"/>
  <c r="G21" i="1" s="1"/>
  <c r="I21" i="1" s="1"/>
  <c r="Q22" i="1"/>
  <c r="Q21" i="1"/>
  <c r="C12" i="1"/>
  <c r="E13" i="2" l="1"/>
  <c r="C16" i="1"/>
  <c r="D18" i="1" s="1"/>
  <c r="C11" i="1"/>
  <c r="O25" i="1" l="1"/>
  <c r="O22" i="1"/>
  <c r="O24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<sst xmlns="http://schemas.openxmlformats.org/spreadsheetml/2006/main" count="100" uniqueCount="82">
  <si>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</si>
  <si>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</si>
  <si>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</si>
  <si>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</si>
  <si>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</si>
  <si>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</si>
  <si>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</si>
  <si>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</si>
  <si>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</si>
  <si>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</si>
  <si>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</si>
  <si>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</si>
  <si>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</si>
  <si>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</si>
  <si>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</si>
  <si>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</si>
  <si>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</si>
  <si>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</si>
  <si>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</si>
  <si>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</si>
  <si>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</si>
  <si>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</si>
  <si>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</si>
  <si>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</si>
  <si>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</si>
  <si>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</si>
  <si>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</si>
  <si>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</si>
  <si>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not avail.</t>
  </si>
  <si>
    <t># of data points:</t>
  </si>
  <si>
    <t>IBVS 5657</t>
  </si>
  <si>
    <t>V1188 Tau / GSC 01803-00810</t>
  </si>
  <si>
    <t>EW</t>
  </si>
  <si>
    <t>See IBVS 4658</t>
  </si>
  <si>
    <t>IBVS 5871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</si>
  <si>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</si>
  <si>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</si>
  <si>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</si>
  <si>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</si>
  <si>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</si>
  <si>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</si>
  <si>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</si>
  <si>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</si>
  <si>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0107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</si>
  <si>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</si>
  <si>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</si>
  <si>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</si>
  <si>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</si>
  <si>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</si>
  <si>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</si>
  <si>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</si>
  <si>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</si>
  <si>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</si>
  <si>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</si>
  <si>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</si>
  <si>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2453349.3593 </t>
  </si>
  <si>
    <t> 09.12.2004 20:37 </t>
  </si>
  <si>
    <t> -0.0029 </t>
  </si>
  <si>
    <t>E </t>
  </si>
  <si>
    <t>-I</t>
  </si>
  <si>
    <t> F.Agerer </t>
  </si>
  <si>
    <t>BAVM 173 </t>
  </si>
  <si>
    <t>2453349.6489 </t>
  </si>
  <si>
    <t> 10.12.2004 03:34 </t>
  </si>
  <si>
    <t>1480</t>
  </si>
  <si>
    <t> -0.0003 </t>
  </si>
  <si>
    <t>2454765.5761 </t>
  </si>
  <si>
    <t> 26.10.2008 01:49 </t>
  </si>
  <si>
    <t>3947</t>
  </si>
  <si>
    <t> -0.0708 </t>
  </si>
  <si>
    <t>C </t>
  </si>
  <si>
    <t> L.Brát </t>
  </si>
  <si>
    <t>OEJV 0107 </t>
  </si>
  <si>
    <t>2454830.6561 </t>
  </si>
  <si>
    <t> 30.12.2008 03:44 </t>
  </si>
  <si>
    <t>4060.5</t>
  </si>
  <si>
    <t> -0.1371 </t>
  </si>
  <si>
    <t> R.Diethelm </t>
  </si>
  <si>
    <t>IBVS 5871 </t>
  </si>
  <si>
    <t>VSX</t>
  </si>
  <si>
    <t>S3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</si>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</sst>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52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V1188 Tau - O-C Diagr.</a:t>
            </a:r>
          </a:p>
        </c:rich>
      </c:tx>
      <c:layout>
        <c:manualLayout>
          <c:xMode val="edge"/>
          <c:yMode val="edge"/>
          <c:x val="0.3586433117508130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8045240595056759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81-4CC3-A703-C4E54D4C0C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-0.11430950000067241</c:v>
                </c:pt>
                <c:pt idx="1">
                  <c:v>-0.11267599999700906</c:v>
                </c:pt>
                <c:pt idx="2">
                  <c:v>-0.11675649999961024</c:v>
                </c:pt>
                <c:pt idx="3">
                  <c:v>-0.11718549999932293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81-4CC3-A703-C4E54D4C0C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81-4CC3-A703-C4E54D4C0C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81-4CC3-A703-C4E54D4C0C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81-4CC3-A703-C4E54D4C0C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81-4CC3-A703-C4E54D4C0C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81-4CC3-A703-C4E54D4C0C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-0.13100577661217649</c:v>
                </c:pt>
                <c:pt idx="1">
                  <c:v>-0.13099708031365209</c:v>
                </c:pt>
                <c:pt idx="2">
                  <c:v>-8.8237380469252252E-2</c:v>
                </c:pt>
                <c:pt idx="3">
                  <c:v>-8.6272017002741314E-2</c:v>
                </c:pt>
                <c:pt idx="4">
                  <c:v>-2.4415245598792532E-2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81-4CC3-A703-C4E54D4C0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16696"/>
        <c:axId val="1"/>
      </c:scatterChart>
      <c:valAx>
        <c:axId val="775816696"/>
        <c:scaling>
          <c:orientation val="minMax"/>
          <c:max val="1000"/>
          <c:min val="-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5027624777920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81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86123584309634"/>
          <c:y val="0.9204921861831491"/>
          <c:w val="0.7463656138297737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V1188 Tau - O-C Diagr.</a:t>
            </a:r>
          </a:p>
        </c:rich>
      </c:tx>
      <c:layout>
        <c:manualLayout>
          <c:xMode val="edge"/>
          <c:yMode val="edge"/>
          <c:x val="0.3580645161290322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95-4A2E-BFF9-BFAAFED9CC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-0.11430950000067241</c:v>
                </c:pt>
                <c:pt idx="1">
                  <c:v>-0.11267599999700906</c:v>
                </c:pt>
                <c:pt idx="2">
                  <c:v>-0.11675649999961024</c:v>
                </c:pt>
                <c:pt idx="3">
                  <c:v>-0.11718549999932293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95-4A2E-BFF9-BFAAFED9CC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95-4A2E-BFF9-BFAAFED9CC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95-4A2E-BFF9-BFAAFED9CC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95-4A2E-BFF9-BFAAFED9CC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95-4A2E-BFF9-BFAAFED9CC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1.8E-3</c:v>
                  </c:pt>
                  <c:pt idx="2">
                    <c:v>2.0000000000000001E-4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95-4A2E-BFF9-BFAAFED9CC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-0.13100577661217649</c:v>
                </c:pt>
                <c:pt idx="1">
                  <c:v>-0.13099708031365209</c:v>
                </c:pt>
                <c:pt idx="2">
                  <c:v>-8.8237380469252252E-2</c:v>
                </c:pt>
                <c:pt idx="3">
                  <c:v>-8.6272017002741314E-2</c:v>
                </c:pt>
                <c:pt idx="4">
                  <c:v>-2.4415245598792532E-2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95-4A2E-BFF9-BFAAFED9CC74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-6128.5</c:v>
                </c:pt>
                <c:pt idx="1">
                  <c:v>-6128</c:v>
                </c:pt>
                <c:pt idx="2">
                  <c:v>-3669.5</c:v>
                </c:pt>
                <c:pt idx="3">
                  <c:v>-3556.5</c:v>
                </c:pt>
                <c:pt idx="4">
                  <c:v>0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95-4A2E-BFF9-BFAAFED9C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22080"/>
        <c:axId val="1"/>
      </c:scatterChart>
      <c:valAx>
        <c:axId val="903222080"/>
        <c:scaling>
          <c:orientation val="minMax"/>
          <c:max val="1000"/>
          <c:min val="-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709677419354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22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7741935483871"/>
          <c:y val="0.92073298764483702"/>
          <c:w val="0.79158933327166703"/>
          <c:h val="5.83395496615554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17</xdr:col>
      <xdr:colOff>200025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4DC7706-1457-E32F-6969-57DF5039A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0</xdr:rowOff>
    </xdr:from>
    <xdr:to>
      <xdr:col>27</xdr:col>
      <xdr:colOff>219075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6D2174E-F293-7322-8CF5-8E7E509B9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1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T38" sqref="T3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49" t="s">
        <v>31</v>
      </c>
    </row>
    <row r="2" spans="1:7" s="2" customFormat="1" ht="12.95" customHeight="1" x14ac:dyDescent="0.2">
      <c r="A2" s="2" t="s">
        <v>23</v>
      </c>
      <c r="B2" s="2" t="s">
        <v>32</v>
      </c>
      <c r="C2" s="18" t="s">
        <v>33</v>
      </c>
      <c r="D2" s="19"/>
    </row>
    <row r="3" spans="1:7" s="2" customFormat="1" ht="12.95" customHeight="1" thickBot="1" x14ac:dyDescent="0.25"/>
    <row r="4" spans="1:7" s="2" customFormat="1" ht="12.95" customHeight="1" thickTop="1" thickBot="1" x14ac:dyDescent="0.25">
      <c r="A4" s="20" t="s">
        <v>0</v>
      </c>
      <c r="C4" s="21" t="s">
        <v>28</v>
      </c>
      <c r="D4" s="22" t="s">
        <v>28</v>
      </c>
    </row>
    <row r="5" spans="1:7" s="2" customFormat="1" ht="12.95" customHeight="1" x14ac:dyDescent="0.2"/>
    <row r="6" spans="1:7" s="2" customFormat="1" ht="12.95" customHeight="1" x14ac:dyDescent="0.2">
      <c r="A6" s="20" t="s">
        <v>1</v>
      </c>
    </row>
    <row r="7" spans="1:7" s="2" customFormat="1" ht="12.95" customHeight="1" x14ac:dyDescent="0.2">
      <c r="A7" s="2" t="s">
        <v>2</v>
      </c>
      <c r="C7" s="23">
        <v>56879.078999999998</v>
      </c>
      <c r="D7" s="50" t="s">
        <v>79</v>
      </c>
    </row>
    <row r="8" spans="1:7" s="2" customFormat="1" ht="12.95" customHeight="1" x14ac:dyDescent="0.2">
      <c r="A8" s="2" t="s">
        <v>3</v>
      </c>
      <c r="C8" s="24">
        <v>0.57593300000000003</v>
      </c>
      <c r="D8" s="50" t="s">
        <v>79</v>
      </c>
    </row>
    <row r="9" spans="1:7" s="2" customFormat="1" ht="12.95" customHeight="1" x14ac:dyDescent="0.2">
      <c r="A9" s="25" t="s">
        <v>36</v>
      </c>
      <c r="C9" s="26">
        <v>-9.5</v>
      </c>
      <c r="D9" s="2" t="s">
        <v>37</v>
      </c>
    </row>
    <row r="10" spans="1:7" s="2" customFormat="1" ht="12.95" customHeight="1" thickBot="1" x14ac:dyDescent="0.25">
      <c r="C10" s="27" t="s">
        <v>19</v>
      </c>
      <c r="D10" s="27" t="s">
        <v>20</v>
      </c>
    </row>
    <row r="11" spans="1:7" s="2" customFormat="1" ht="12.95" customHeight="1" x14ac:dyDescent="0.2">
      <c r="A11" s="2" t="s">
        <v>15</v>
      </c>
      <c r="C11" s="28">
        <f ca="1">INTERCEPT(INDIRECT($G$11):G992,INDIRECT($F$11):F992)</f>
        <v>-2.4415245598792532E-2</v>
      </c>
      <c r="D11" s="19"/>
      <c r="F11" s="18" t="str">
        <f>"F"&amp;E19</f>
        <v>F21</v>
      </c>
      <c r="G11" s="28" t="str">
        <f>"G"&amp;E19</f>
        <v>G21</v>
      </c>
    </row>
    <row r="12" spans="1:7" s="2" customFormat="1" ht="12.95" customHeight="1" x14ac:dyDescent="0.2">
      <c r="A12" s="2" t="s">
        <v>16</v>
      </c>
      <c r="C12" s="28">
        <f ca="1">SLOPE(INDIRECT($G$11):G992,INDIRECT($F$11):F992)</f>
        <v>1.7392597048769513E-5</v>
      </c>
      <c r="D12" s="19"/>
    </row>
    <row r="13" spans="1:7" s="2" customFormat="1" ht="12.95" customHeight="1" x14ac:dyDescent="0.2">
      <c r="A13" s="2" t="s">
        <v>18</v>
      </c>
      <c r="C13" s="19" t="s">
        <v>13</v>
      </c>
      <c r="D13" s="19"/>
    </row>
    <row r="14" spans="1:7" s="2" customFormat="1" ht="12.95" customHeight="1" x14ac:dyDescent="0.2"/>
    <row r="15" spans="1:7" s="2" customFormat="1" ht="12.95" customHeight="1" x14ac:dyDescent="0.2">
      <c r="A15" s="29" t="s">
        <v>17</v>
      </c>
      <c r="C15" s="30">
        <f ca="1">(C7+C11)+(C8+C12)*INT(MAX(F21:F3533))</f>
        <v>56879.054584754398</v>
      </c>
      <c r="D15" s="31" t="s">
        <v>38</v>
      </c>
      <c r="E15" s="32">
        <f ca="1">TODAY()+15018.5-B9/24</f>
        <v>60376.5</v>
      </c>
    </row>
    <row r="16" spans="1:7" s="2" customFormat="1" ht="12.95" customHeight="1" x14ac:dyDescent="0.2">
      <c r="A16" s="20" t="s">
        <v>4</v>
      </c>
      <c r="C16" s="33">
        <f ca="1">+C8+C12</f>
        <v>0.57595039259704883</v>
      </c>
      <c r="D16" s="31" t="s">
        <v>39</v>
      </c>
      <c r="E16" s="32">
        <f ca="1">ROUND(2*(E15-C15)/C16,0)/2+1</f>
        <v>6073.5</v>
      </c>
    </row>
    <row r="17" spans="1:19" s="2" customFormat="1" ht="12.95" customHeight="1" thickBot="1" x14ac:dyDescent="0.25">
      <c r="A17" s="31" t="s">
        <v>29</v>
      </c>
      <c r="C17" s="2">
        <f>COUNT(C21:C2191)</f>
        <v>5</v>
      </c>
      <c r="D17" s="31" t="s">
        <v>40</v>
      </c>
      <c r="E17" s="34">
        <f ca="1">+C15+C16*E16-15018.5-C9/24</f>
        <v>45358.985127525906</v>
      </c>
    </row>
    <row r="18" spans="1:19" s="2" customFormat="1" ht="12.95" customHeight="1" thickTop="1" thickBot="1" x14ac:dyDescent="0.25">
      <c r="A18" s="20" t="s">
        <v>5</v>
      </c>
      <c r="C18" s="35">
        <f ca="1">+C15</f>
        <v>56879.054584754398</v>
      </c>
      <c r="D18" s="36">
        <f ca="1">+C16</f>
        <v>0.57595039259704883</v>
      </c>
      <c r="E18" s="37" t="s">
        <v>41</v>
      </c>
    </row>
    <row r="19" spans="1:19" s="2" customFormat="1" ht="12.95" customHeight="1" thickTop="1" x14ac:dyDescent="0.2">
      <c r="A19" s="38" t="s">
        <v>42</v>
      </c>
      <c r="E19" s="39">
        <v>21</v>
      </c>
    </row>
    <row r="20" spans="1:19" s="2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40" t="s">
        <v>79</v>
      </c>
      <c r="I20" s="40" t="s">
        <v>46</v>
      </c>
      <c r="J20" s="40" t="s">
        <v>80</v>
      </c>
      <c r="K20" s="40" t="s">
        <v>24</v>
      </c>
      <c r="L20" s="40" t="s">
        <v>25</v>
      </c>
      <c r="M20" s="40" t="s">
        <v>26</v>
      </c>
      <c r="N20" s="40" t="s">
        <v>27</v>
      </c>
      <c r="O20" s="40" t="s">
        <v>22</v>
      </c>
      <c r="P20" s="41" t="s">
        <v>21</v>
      </c>
      <c r="Q20" s="27" t="s">
        <v>14</v>
      </c>
      <c r="S20" s="51" t="s">
        <v>81</v>
      </c>
    </row>
    <row r="21" spans="1:19" s="2" customFormat="1" ht="12.95" customHeight="1" x14ac:dyDescent="0.2">
      <c r="A21" s="2" t="s">
        <v>30</v>
      </c>
      <c r="B21" s="42"/>
      <c r="C21" s="23">
        <v>53349.359299999996</v>
      </c>
      <c r="D21" s="23">
        <v>2.9999999999999997E-4</v>
      </c>
      <c r="E21" s="2">
        <f>+(C21-C$7)/C$8</f>
        <v>-6128.6984770798017</v>
      </c>
      <c r="F21" s="2">
        <f>ROUND(2*E21,0)/2</f>
        <v>-6128.5</v>
      </c>
      <c r="G21" s="2">
        <f>+C21-(C$7+F21*C$8)</f>
        <v>-0.11430950000067241</v>
      </c>
      <c r="I21" s="2">
        <f>+G21</f>
        <v>-0.11430950000067241</v>
      </c>
      <c r="O21" s="2">
        <f ca="1">+C$11+C$12*$F21</f>
        <v>-0.13100577661217649</v>
      </c>
      <c r="Q21" s="43">
        <f>+C21-15018.5</f>
        <v>38330.859299999996</v>
      </c>
    </row>
    <row r="22" spans="1:19" s="2" customFormat="1" ht="12.95" customHeight="1" x14ac:dyDescent="0.2">
      <c r="A22" s="2" t="s">
        <v>30</v>
      </c>
      <c r="B22" s="42"/>
      <c r="C22" s="23">
        <v>53349.6489</v>
      </c>
      <c r="D22" s="23">
        <v>1.8E-3</v>
      </c>
      <c r="E22" s="2">
        <f>+(C22-C$7)/C$8</f>
        <v>-6128.1956408123824</v>
      </c>
      <c r="F22" s="2">
        <f>ROUND(2*E22,0)/2</f>
        <v>-6128</v>
      </c>
      <c r="G22" s="2">
        <f>+C22-(C$7+F22*C$8)</f>
        <v>-0.11267599999700906</v>
      </c>
      <c r="I22" s="2">
        <f>+G22</f>
        <v>-0.11267599999700906</v>
      </c>
      <c r="O22" s="2">
        <f ca="1">+C$11+C$12*$F22</f>
        <v>-0.13099708031365209</v>
      </c>
      <c r="Q22" s="43">
        <f>+C22-15018.5</f>
        <v>38331.1489</v>
      </c>
    </row>
    <row r="23" spans="1:19" s="2" customFormat="1" ht="12.95" customHeight="1" x14ac:dyDescent="0.2">
      <c r="A23" s="44" t="s">
        <v>43</v>
      </c>
      <c r="B23" s="45" t="s">
        <v>35</v>
      </c>
      <c r="C23" s="46">
        <v>54765.576099999998</v>
      </c>
      <c r="D23" s="46">
        <v>2.0000000000000001E-4</v>
      </c>
      <c r="E23" s="2">
        <f>+(C23-C$7)/C$8</f>
        <v>-3669.7027258379003</v>
      </c>
      <c r="F23" s="2">
        <f>ROUND(2*E23,0)/2</f>
        <v>-3669.5</v>
      </c>
      <c r="G23" s="2">
        <f>+C23-(C$7+F23*C$8)</f>
        <v>-0.11675649999961024</v>
      </c>
      <c r="I23" s="2">
        <f>+G23</f>
        <v>-0.11675649999961024</v>
      </c>
      <c r="O23" s="2">
        <f ca="1">+C$11+C$12*$F23</f>
        <v>-8.8237380469252252E-2</v>
      </c>
      <c r="Q23" s="43">
        <f>+C23-15018.5</f>
        <v>39747.076099999998</v>
      </c>
    </row>
    <row r="24" spans="1:19" s="2" customFormat="1" ht="12.95" customHeight="1" x14ac:dyDescent="0.2">
      <c r="A24" s="47" t="s">
        <v>34</v>
      </c>
      <c r="B24" s="48" t="s">
        <v>35</v>
      </c>
      <c r="C24" s="47">
        <v>54830.6561</v>
      </c>
      <c r="D24" s="47">
        <v>1.1999999999999999E-3</v>
      </c>
      <c r="E24" s="2">
        <f>+(C24-C$7)/C$8</f>
        <v>-3556.7034707162079</v>
      </c>
      <c r="F24" s="2">
        <f>ROUND(2*E24,0)/2</f>
        <v>-3556.5</v>
      </c>
      <c r="G24" s="2">
        <f>+C24-(C$7+F24*C$8)</f>
        <v>-0.11718549999932293</v>
      </c>
      <c r="I24" s="2">
        <f>+G24</f>
        <v>-0.11718549999932293</v>
      </c>
      <c r="O24" s="2">
        <f ca="1">+C$11+C$12*$F24</f>
        <v>-8.6272017002741314E-2</v>
      </c>
      <c r="Q24" s="43">
        <f>+C24-15018.5</f>
        <v>39812.1561</v>
      </c>
    </row>
    <row r="25" spans="1:19" s="2" customFormat="1" ht="12.95" customHeight="1" x14ac:dyDescent="0.2">
      <c r="A25" s="2" t="str">
        <f>$D$7</f>
        <v>VSX</v>
      </c>
      <c r="C25" s="23">
        <f>$C$7</f>
        <v>56879.078999999998</v>
      </c>
      <c r="D25" s="23"/>
      <c r="E25" s="2">
        <f>+(C25-C$7)/C$8</f>
        <v>0</v>
      </c>
      <c r="F25" s="2">
        <f>ROUND(2*E25,0)/2</f>
        <v>0</v>
      </c>
      <c r="G25" s="2">
        <f>+C25-(C$7+F25*C$8)</f>
        <v>0</v>
      </c>
      <c r="H25" s="2">
        <f>+G25</f>
        <v>0</v>
      </c>
      <c r="O25" s="2">
        <f ca="1">+C$11+C$12*$F25</f>
        <v>-2.4415245598792532E-2</v>
      </c>
      <c r="Q25" s="43">
        <f>+C25-15018.5</f>
        <v>41860.578999999998</v>
      </c>
    </row>
    <row r="26" spans="1:19" s="2" customFormat="1" ht="12.95" customHeight="1" x14ac:dyDescent="0.2">
      <c r="C26" s="23"/>
      <c r="D26" s="23"/>
      <c r="Q26" s="43"/>
    </row>
    <row r="27" spans="1:19" s="2" customFormat="1" ht="12.95" customHeight="1" x14ac:dyDescent="0.2">
      <c r="C27" s="23"/>
      <c r="D27" s="23"/>
      <c r="Q27" s="43"/>
    </row>
    <row r="28" spans="1:19" s="2" customFormat="1" ht="12.95" customHeight="1" x14ac:dyDescent="0.2">
      <c r="C28" s="23"/>
      <c r="D28" s="23"/>
      <c r="Q28" s="43"/>
    </row>
    <row r="29" spans="1:19" s="2" customFormat="1" ht="12.95" customHeight="1" x14ac:dyDescent="0.2">
      <c r="C29" s="23"/>
      <c r="D29" s="23"/>
      <c r="Q29" s="43"/>
    </row>
    <row r="30" spans="1:19" s="2" customFormat="1" ht="12.95" customHeight="1" x14ac:dyDescent="0.2">
      <c r="C30" s="23"/>
      <c r="D30" s="23"/>
      <c r="Q30" s="43"/>
    </row>
    <row r="31" spans="1:19" s="2" customFormat="1" ht="12.95" customHeight="1" x14ac:dyDescent="0.2">
      <c r="C31" s="23"/>
      <c r="D31" s="23"/>
      <c r="Q31" s="43"/>
    </row>
    <row r="32" spans="1:19" s="2" customFormat="1" ht="12.95" customHeight="1" x14ac:dyDescent="0.2">
      <c r="C32" s="23"/>
      <c r="D32" s="23"/>
      <c r="Q32" s="43"/>
    </row>
    <row r="33" spans="3:4" s="2" customFormat="1" ht="12.95" customHeight="1" x14ac:dyDescent="0.2">
      <c r="C33" s="23"/>
      <c r="D33" s="23"/>
    </row>
    <row r="34" spans="3:4" s="2" customFormat="1" ht="12.95" customHeight="1" x14ac:dyDescent="0.2">
      <c r="C34" s="23"/>
      <c r="D34" s="23"/>
    </row>
    <row r="35" spans="3:4" s="2" customFormat="1" ht="12.95" customHeight="1" x14ac:dyDescent="0.2">
      <c r="D35" s="19"/>
    </row>
    <row r="36" spans="3:4" s="2" customFormat="1" ht="12.95" customHeight="1" x14ac:dyDescent="0.2">
      <c r="D36" s="19"/>
    </row>
    <row r="37" spans="3:4" s="2" customFormat="1" ht="12.95" customHeight="1" x14ac:dyDescent="0.2">
      <c r="D37" s="19"/>
    </row>
    <row r="38" spans="3:4" s="2" customFormat="1" ht="12.95" customHeight="1" x14ac:dyDescent="0.2">
      <c r="D38" s="19"/>
    </row>
    <row r="39" spans="3:4" s="2" customFormat="1" ht="12.95" customHeight="1" x14ac:dyDescent="0.2">
      <c r="D39" s="19"/>
    </row>
    <row r="40" spans="3:4" x14ac:dyDescent="0.2">
      <c r="D40" s="1"/>
    </row>
    <row r="41" spans="3:4" x14ac:dyDescent="0.2">
      <c r="D41" s="1"/>
    </row>
    <row r="42" spans="3:4" x14ac:dyDescent="0.2">
      <c r="D42" s="1"/>
    </row>
    <row r="43" spans="3:4" x14ac:dyDescent="0.2">
      <c r="D43" s="1"/>
    </row>
    <row r="44" spans="3:4" x14ac:dyDescent="0.2">
      <c r="D44" s="1"/>
    </row>
    <row r="45" spans="3:4" x14ac:dyDescent="0.2">
      <c r="D45" s="1"/>
    </row>
    <row r="46" spans="3:4" x14ac:dyDescent="0.2">
      <c r="D46" s="1"/>
    </row>
    <row r="47" spans="3:4" x14ac:dyDescent="0.2">
      <c r="D47" s="1"/>
    </row>
    <row r="48" spans="3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</sheetData>
  <sortState xmlns:xlrd2="http://schemas.microsoft.com/office/spreadsheetml/2017/richdata2" ref="A21:R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814"/>
  <sheetViews>
    <sheetView workbookViewId="0">
      <selection activeCell="A11" sqref="A11:IV448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44</v>
      </c>
      <c r="I1" s="6" t="s">
        <v>45</v>
      </c>
      <c r="J1" s="7" t="s">
        <v>46</v>
      </c>
    </row>
    <row r="2" spans="1:16" x14ac:dyDescent="0.2">
      <c r="I2" s="8" t="s">
        <v>47</v>
      </c>
      <c r="J2" s="9" t="s">
        <v>48</v>
      </c>
    </row>
    <row r="3" spans="1:16" x14ac:dyDescent="0.2">
      <c r="A3" s="10" t="s">
        <v>49</v>
      </c>
      <c r="I3" s="8" t="s">
        <v>50</v>
      </c>
      <c r="J3" s="9" t="s">
        <v>51</v>
      </c>
    </row>
    <row r="4" spans="1:16" x14ac:dyDescent="0.2">
      <c r="I4" s="8" t="s">
        <v>52</v>
      </c>
      <c r="J4" s="9" t="s">
        <v>51</v>
      </c>
    </row>
    <row r="5" spans="1:16" ht="13.5" thickBot="1" x14ac:dyDescent="0.25">
      <c r="I5" s="11" t="s">
        <v>53</v>
      </c>
      <c r="J5" s="12" t="s">
        <v>54</v>
      </c>
    </row>
    <row r="10" spans="1:16" ht="13.5" thickBot="1" x14ac:dyDescent="0.25"/>
    <row r="11" spans="1:16" ht="12.75" customHeight="1" thickBot="1" x14ac:dyDescent="0.25">
      <c r="A11" s="3" t="str">
        <f>P11</f>
        <v>BAVM 173 </v>
      </c>
      <c r="B11" s="1" t="str">
        <f>IF(H11=INT(H11),"I","II")</f>
        <v>II</v>
      </c>
      <c r="C11" s="3">
        <f>1*G11</f>
        <v>53349.359299999996</v>
      </c>
      <c r="D11" s="4" t="str">
        <f>VLOOKUP(F11,I$1:J$5,2,FALSE)</f>
        <v>vis</v>
      </c>
      <c r="E11" s="13">
        <f>VLOOKUP(C11,Active!C$21:E$973,3,FALSE)</f>
        <v>-6128.6984770798017</v>
      </c>
      <c r="F11" s="1" t="s">
        <v>53</v>
      </c>
      <c r="G11" s="4" t="str">
        <f>MID(I11,3,LEN(I11)-3)</f>
        <v>53349.3593</v>
      </c>
      <c r="H11" s="3">
        <f>1*K11</f>
        <v>1479.5</v>
      </c>
      <c r="I11" s="14" t="s">
        <v>55</v>
      </c>
      <c r="J11" s="15" t="s">
        <v>56</v>
      </c>
      <c r="K11" s="14">
        <v>1479.5</v>
      </c>
      <c r="L11" s="14" t="s">
        <v>57</v>
      </c>
      <c r="M11" s="15" t="s">
        <v>58</v>
      </c>
      <c r="N11" s="15" t="s">
        <v>59</v>
      </c>
      <c r="O11" s="16" t="s">
        <v>60</v>
      </c>
      <c r="P11" s="17" t="s">
        <v>61</v>
      </c>
    </row>
    <row r="12" spans="1:16" ht="12.75" customHeight="1" thickBot="1" x14ac:dyDescent="0.25">
      <c r="A12" s="3" t="str">
        <f>P12</f>
        <v>BAVM 173 </v>
      </c>
      <c r="B12" s="1" t="str">
        <f>IF(H12=INT(H12),"I","II")</f>
        <v>I</v>
      </c>
      <c r="C12" s="3">
        <f>1*G12</f>
        <v>53349.6489</v>
      </c>
      <c r="D12" s="4" t="str">
        <f>VLOOKUP(F12,I$1:J$5,2,FALSE)</f>
        <v>vis</v>
      </c>
      <c r="E12" s="13">
        <f>VLOOKUP(C12,Active!C$21:E$973,3,FALSE)</f>
        <v>-6128.1956408123824</v>
      </c>
      <c r="F12" s="1" t="s">
        <v>53</v>
      </c>
      <c r="G12" s="4" t="str">
        <f>MID(I12,3,LEN(I12)-3)</f>
        <v>53349.6489</v>
      </c>
      <c r="H12" s="3">
        <f>1*K12</f>
        <v>1480</v>
      </c>
      <c r="I12" s="14" t="s">
        <v>62</v>
      </c>
      <c r="J12" s="15" t="s">
        <v>63</v>
      </c>
      <c r="K12" s="14" t="s">
        <v>64</v>
      </c>
      <c r="L12" s="14" t="s">
        <v>65</v>
      </c>
      <c r="M12" s="15" t="s">
        <v>58</v>
      </c>
      <c r="N12" s="15" t="s">
        <v>59</v>
      </c>
      <c r="O12" s="16" t="s">
        <v>60</v>
      </c>
      <c r="P12" s="17" t="s">
        <v>61</v>
      </c>
    </row>
    <row r="13" spans="1:16" ht="12.75" customHeight="1" thickBot="1" x14ac:dyDescent="0.25">
      <c r="A13" s="3" t="str">
        <f>P13</f>
        <v>OEJV 0107 </v>
      </c>
      <c r="B13" s="1" t="str">
        <f>IF(H13=INT(H13),"I","II")</f>
        <v>I</v>
      </c>
      <c r="C13" s="3">
        <f>1*G13</f>
        <v>54765.576099999998</v>
      </c>
      <c r="D13" s="4" t="str">
        <f>VLOOKUP(F13,I$1:J$5,2,FALSE)</f>
        <v>vis</v>
      </c>
      <c r="E13" s="13">
        <f>VLOOKUP(C13,Active!C$21:E$973,3,FALSE)</f>
        <v>-3669.7027258379003</v>
      </c>
      <c r="F13" s="1" t="s">
        <v>53</v>
      </c>
      <c r="G13" s="4" t="str">
        <f>MID(I13,3,LEN(I13)-3)</f>
        <v>54765.5761</v>
      </c>
      <c r="H13" s="3">
        <f>1*K13</f>
        <v>3947</v>
      </c>
      <c r="I13" s="14" t="s">
        <v>66</v>
      </c>
      <c r="J13" s="15" t="s">
        <v>67</v>
      </c>
      <c r="K13" s="14" t="s">
        <v>68</v>
      </c>
      <c r="L13" s="14" t="s">
        <v>69</v>
      </c>
      <c r="M13" s="15" t="s">
        <v>70</v>
      </c>
      <c r="N13" s="15" t="s">
        <v>45</v>
      </c>
      <c r="O13" s="16" t="s">
        <v>71</v>
      </c>
      <c r="P13" s="17" t="s">
        <v>72</v>
      </c>
    </row>
    <row r="14" spans="1:16" ht="12.75" customHeight="1" thickBot="1" x14ac:dyDescent="0.25">
      <c r="A14" s="3" t="str">
        <f>P14</f>
        <v>IBVS 5871 </v>
      </c>
      <c r="B14" s="1" t="str">
        <f>IF(H14=INT(H14),"I","II")</f>
        <v>II</v>
      </c>
      <c r="C14" s="3">
        <f>1*G14</f>
        <v>54830.6561</v>
      </c>
      <c r="D14" s="4" t="str">
        <f>VLOOKUP(F14,I$1:J$5,2,FALSE)</f>
        <v>vis</v>
      </c>
      <c r="E14" s="13">
        <f>VLOOKUP(C14,Active!C$21:E$973,3,FALSE)</f>
        <v>-3556.7034707162079</v>
      </c>
      <c r="F14" s="1" t="s">
        <v>53</v>
      </c>
      <c r="G14" s="4" t="str">
        <f>MID(I14,3,LEN(I14)-3)</f>
        <v>54830.6561</v>
      </c>
      <c r="H14" s="3">
        <f>1*K14</f>
        <v>4060.5</v>
      </c>
      <c r="I14" s="14" t="s">
        <v>73</v>
      </c>
      <c r="J14" s="15" t="s">
        <v>74</v>
      </c>
      <c r="K14" s="14" t="s">
        <v>75</v>
      </c>
      <c r="L14" s="14" t="s">
        <v>76</v>
      </c>
      <c r="M14" s="15" t="s">
        <v>70</v>
      </c>
      <c r="N14" s="15" t="s">
        <v>53</v>
      </c>
      <c r="O14" s="16" t="s">
        <v>77</v>
      </c>
      <c r="P14" s="17" t="s">
        <v>78</v>
      </c>
    </row>
    <row r="15" spans="1:16" x14ac:dyDescent="0.2">
      <c r="B15" s="1"/>
      <c r="E15" s="13"/>
      <c r="F15" s="1"/>
    </row>
    <row r="16" spans="1:16" x14ac:dyDescent="0.2">
      <c r="B16" s="1"/>
      <c r="E16" s="13"/>
      <c r="F16" s="1"/>
    </row>
    <row r="17" spans="2:6" x14ac:dyDescent="0.2">
      <c r="B17" s="1"/>
      <c r="E17" s="13"/>
      <c r="F17" s="1"/>
    </row>
    <row r="18" spans="2:6" x14ac:dyDescent="0.2">
      <c r="B18" s="1"/>
      <c r="E18" s="13"/>
      <c r="F18" s="1"/>
    </row>
    <row r="19" spans="2:6" x14ac:dyDescent="0.2">
      <c r="B19" s="1"/>
      <c r="E19" s="13"/>
      <c r="F19" s="1"/>
    </row>
    <row r="20" spans="2:6" x14ac:dyDescent="0.2">
      <c r="B20" s="1"/>
      <c r="E20" s="13"/>
      <c r="F20" s="1"/>
    </row>
    <row r="21" spans="2:6" x14ac:dyDescent="0.2">
      <c r="B21" s="1"/>
      <c r="E21" s="13"/>
      <c r="F21" s="1"/>
    </row>
    <row r="22" spans="2:6" x14ac:dyDescent="0.2">
      <c r="B22" s="1"/>
      <c r="E22" s="13"/>
      <c r="F22" s="1"/>
    </row>
    <row r="23" spans="2:6" x14ac:dyDescent="0.2">
      <c r="B23" s="1"/>
      <c r="E23" s="13"/>
      <c r="F23" s="1"/>
    </row>
    <row r="24" spans="2:6" x14ac:dyDescent="0.2">
      <c r="B24" s="1"/>
      <c r="E24" s="13"/>
      <c r="F24" s="1"/>
    </row>
    <row r="25" spans="2:6" x14ac:dyDescent="0.2">
      <c r="B25" s="1"/>
      <c r="E25" s="13"/>
      <c r="F25" s="1"/>
    </row>
    <row r="26" spans="2:6" x14ac:dyDescent="0.2">
      <c r="B26" s="1"/>
      <c r="E26" s="13"/>
      <c r="F26" s="1"/>
    </row>
    <row r="27" spans="2:6" x14ac:dyDescent="0.2">
      <c r="B27" s="1"/>
      <c r="F27" s="1"/>
    </row>
    <row r="28" spans="2:6" x14ac:dyDescent="0.2">
      <c r="B28" s="1"/>
      <c r="F28" s="1"/>
    </row>
    <row r="29" spans="2:6" x14ac:dyDescent="0.2">
      <c r="B29" s="1"/>
      <c r="F29" s="1"/>
    </row>
    <row r="30" spans="2:6" x14ac:dyDescent="0.2">
      <c r="B30" s="1"/>
      <c r="F30" s="1"/>
    </row>
    <row r="31" spans="2:6" x14ac:dyDescent="0.2">
      <c r="B31" s="1"/>
      <c r="F31" s="1"/>
    </row>
    <row r="32" spans="2:6" x14ac:dyDescent="0.2">
      <c r="B32" s="1"/>
      <c r="F32" s="1"/>
    </row>
    <row r="33" spans="2:6" x14ac:dyDescent="0.2">
      <c r="B33" s="1"/>
      <c r="F33" s="1"/>
    </row>
    <row r="34" spans="2:6" x14ac:dyDescent="0.2">
      <c r="B34" s="1"/>
      <c r="F34" s="1"/>
    </row>
    <row r="35" spans="2:6" x14ac:dyDescent="0.2">
      <c r="B35" s="1"/>
      <c r="F35" s="1"/>
    </row>
    <row r="36" spans="2:6" x14ac:dyDescent="0.2">
      <c r="B36" s="1"/>
      <c r="F36" s="1"/>
    </row>
    <row r="37" spans="2:6" x14ac:dyDescent="0.2">
      <c r="B37" s="1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</sheetData>
  <phoneticPr fontId="7" type="noConversion"/>
  <hyperlinks>
    <hyperlink ref="P11" r:id="rId1" display="http://www.bav-astro.de/sfs/BAVM_link.php?BAVMnr=173"/>
    <hyperlink ref="P12" r:id="rId2" display="http://www.bav-astro.de/sfs/BAVM_link.php?BAVMnr=173"/>
    <hyperlink ref="P13" r:id="rId3" display="http://var.astro.cz/oejv/issues/oejv0107.pdf"/>
    <hyperlink ref="P14" r:id="rId4" display="http://www.konkoly.hu/cgi-bin/IBVS?587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2024-03-07T06:29:08Z</dcterms:modified>
</cp:coreProperties>
</file>