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ECD9960-0D4F-4EAA-8578-9372CDC717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E30" i="1"/>
  <c r="F30" i="1"/>
  <c r="G30" i="1"/>
  <c r="K30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K26" i="1"/>
  <c r="E27" i="1"/>
  <c r="F27" i="1"/>
  <c r="G27" i="1"/>
  <c r="E28" i="1"/>
  <c r="F28" i="1"/>
  <c r="G28" i="1"/>
  <c r="K28" i="1"/>
  <c r="Q29" i="1"/>
  <c r="Q30" i="1"/>
  <c r="Q22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8" i="1"/>
  <c r="Q25" i="1"/>
  <c r="Q24" i="1"/>
  <c r="K27" i="1"/>
  <c r="Q27" i="1"/>
  <c r="Q23" i="1"/>
  <c r="Q26" i="1"/>
  <c r="F16" i="1"/>
  <c r="C17" i="1"/>
  <c r="Q21" i="1"/>
  <c r="C11" i="1"/>
  <c r="C12" i="1"/>
  <c r="C16" i="1" l="1"/>
  <c r="D18" i="1" s="1"/>
  <c r="O23" i="1"/>
  <c r="O30" i="1"/>
  <c r="O28" i="1"/>
  <c r="O21" i="1"/>
  <c r="O24" i="1"/>
  <c r="O27" i="1"/>
  <c r="C15" i="1"/>
  <c r="F18" i="1" s="1"/>
  <c r="O22" i="1"/>
  <c r="O29" i="1"/>
  <c r="O25" i="1"/>
  <c r="O26" i="1"/>
  <c r="F17" i="1"/>
  <c r="C18" i="1" l="1"/>
  <c r="F19" i="1"/>
</calcChain>
</file>

<file path=xl/sharedStrings.xml><?xml version="1.0" encoding="utf-8"?>
<sst xmlns="http://schemas.openxmlformats.org/spreadsheetml/2006/main" count="120" uniqueCount="89">
  <si>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</si>
  <si>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</si>
  <si>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</si>
  <si>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</si>
  <si>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</si>
  <si>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</si>
  <si>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</si>
  <si>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</si>
  <si>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</si>
  <si>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</si>
  <si>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</si>
  <si>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</si>
  <si>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</si>
  <si>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</si>
  <si>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</si>
  <si>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</si>
  <si>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</si>
  <si>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</si>
  <si>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</si>
  <si>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</si>
  <si>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</si>
  <si>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</si>
  <si>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</si>
  <si>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</si>
  <si>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</si>
  <si>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</si>
  <si>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</si>
  <si>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</si>
  <si>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</si>
  <si>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</si>
  <si>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</si>
  <si>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</si>
  <si>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</si>
  <si>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</si>
  <si>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</si>
  <si>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</si>
  <si>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</si>
  <si>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</si>
  <si>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V1239 Tau / GSC 1870-0458</t>
  </si>
  <si>
    <t>G1870-0458</t>
  </si>
  <si>
    <t>EA</t>
  </si>
  <si>
    <t>GRAV</t>
  </si>
  <si>
    <t>IBVS 5959</t>
  </si>
  <si>
    <t>I</t>
  </si>
  <si>
    <t>IBVS 5992</t>
  </si>
  <si>
    <t>OEJV 0160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</si>
  <si>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</si>
  <si>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</si>
  <si>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</si>
  <si>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</si>
  <si>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</si>
  <si>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</si>
  <si>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</si>
  <si>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</si>
  <si>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</si>
  <si>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</si>
  <si>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</si>
  <si>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</si>
  <si>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</si>
  <si>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2454147.0149 </t>
  </si>
  <si>
    <t> 15.02.2007 12:21 </t>
  </si>
  <si>
    <t> -0.0327 </t>
  </si>
  <si>
    <t>C </t>
  </si>
  <si>
    <t> K.Nakajima </t>
  </si>
  <si>
    <t>VSB 46 </t>
  </si>
  <si>
    <t>2454866.2421 </t>
  </si>
  <si>
    <t> 03.02.2009 17:48 </t>
  </si>
  <si>
    <t> -0.0411 </t>
  </si>
  <si>
    <t>-I</t>
  </si>
  <si>
    <t> F.Agerer </t>
  </si>
  <si>
    <t>BAVM 214 </t>
  </si>
  <si>
    <t>2455590.3286 </t>
  </si>
  <si>
    <t> 28.01.2011 19:53 </t>
  </si>
  <si>
    <t>2714.5</t>
  </si>
  <si>
    <t> -0.0720 </t>
  </si>
  <si>
    <t>BAVM 215 </t>
  </si>
  <si>
    <t>2455590.3379 </t>
  </si>
  <si>
    <t> 28.01.2011 20:06 </t>
  </si>
  <si>
    <t> -0.0627 </t>
  </si>
  <si>
    <t>B</t>
  </si>
  <si>
    <t>2455894.61874 </t>
  </si>
  <si>
    <t> 29.11.2011 02:50 </t>
  </si>
  <si>
    <t>2995</t>
  </si>
  <si>
    <t> -0.07386 </t>
  </si>
  <si>
    <t>R</t>
  </si>
  <si>
    <t> M.Lehky </t>
  </si>
  <si>
    <t>OEJV 0160 </t>
  </si>
  <si>
    <t>VSB 060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</si>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</sst>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V1239 Tau - O-C Diagr.</a:t>
            </a:r>
          </a:p>
        </c:rich>
      </c:tx>
      <c:layout>
        <c:manualLayout>
          <c:xMode val="edge"/>
          <c:yMode val="edge"/>
          <c:x val="0.3783031988873435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40055632823365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F2-45A7-9946-AF52ACA745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F2-45A7-9946-AF52ACA745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">
                  <c:v>6.7342000009375624E-2</c:v>
                </c:pt>
                <c:pt idx="3">
                  <c:v>3.6492000006546732E-2</c:v>
                </c:pt>
                <c:pt idx="4">
                  <c:v>4.5792000004439615E-2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F2-45A7-9946-AF52ACA745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0.10848200000327779</c:v>
                </c:pt>
                <c:pt idx="1">
                  <c:v>7.5802000006660819E-2</c:v>
                </c:pt>
                <c:pt idx="5">
                  <c:v>3.9202000007207971E-2</c:v>
                </c:pt>
                <c:pt idx="6">
                  <c:v>3.4621999999217223E-2</c:v>
                </c:pt>
                <c:pt idx="7">
                  <c:v>2.6602000005368609E-2</c:v>
                </c:pt>
                <c:pt idx="8">
                  <c:v>1.3502000008884352E-2</c:v>
                </c:pt>
                <c:pt idx="9">
                  <c:v>1.4842000004136935E-2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F2-45A7-9946-AF52ACA745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F2-45A7-9946-AF52ACA745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F2-45A7-9946-AF52ACA745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4.0000000000000002E-4</c:v>
                  </c:pt>
                  <c:pt idx="3">
                    <c:v>1.4500000000000001E-2</c:v>
                  </c:pt>
                  <c:pt idx="4">
                    <c:v>1.4500000000000001E-2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4.0000000000000002E-4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F2-45A7-9946-AF52ACA745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0.10561150799453201</c:v>
                </c:pt>
                <c:pt idx="1">
                  <c:v>7.5062348590848066E-2</c:v>
                </c:pt>
                <c:pt idx="2">
                  <c:v>6.0427888558591956E-2</c:v>
                </c:pt>
                <c:pt idx="3">
                  <c:v>4.5694099612089763E-2</c:v>
                </c:pt>
                <c:pt idx="4">
                  <c:v>4.5694099612089763E-2</c:v>
                </c:pt>
                <c:pt idx="5">
                  <c:v>4.5484405237570254E-2</c:v>
                </c:pt>
                <c:pt idx="6">
                  <c:v>3.9502597290750646E-2</c:v>
                </c:pt>
                <c:pt idx="7">
                  <c:v>2.5199233639314811E-2</c:v>
                </c:pt>
                <c:pt idx="8">
                  <c:v>1.0344042686511845E-2</c:v>
                </c:pt>
                <c:pt idx="9">
                  <c:v>9.6597768328166161E-3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F2-45A7-9946-AF52ACA745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1384</c:v>
                </c:pt>
                <c:pt idx="2">
                  <c:v>2047</c:v>
                </c:pt>
                <c:pt idx="3">
                  <c:v>2714.5</c:v>
                </c:pt>
                <c:pt idx="4">
                  <c:v>2714.5</c:v>
                </c:pt>
                <c:pt idx="5">
                  <c:v>2724</c:v>
                </c:pt>
                <c:pt idx="6">
                  <c:v>2995</c:v>
                </c:pt>
                <c:pt idx="7">
                  <c:v>3643</c:v>
                </c:pt>
                <c:pt idx="8">
                  <c:v>4316</c:v>
                </c:pt>
                <c:pt idx="9">
                  <c:v>4347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F2-45A7-9946-AF52ACA74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33976"/>
        <c:axId val="1"/>
      </c:scatterChart>
      <c:valAx>
        <c:axId val="775833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833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365785813630041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2304C55-E36D-3F62-E87B-FB99D3ABF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vsolj.cetus-net.org/no46.pdf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9" customFormat="1" ht="20.25">
      <c r="A1" s="59" t="s">
        <v>38</v>
      </c>
      <c r="E1" s="5"/>
      <c r="F1" s="29" t="s">
        <v>39</v>
      </c>
    </row>
    <row r="2" spans="1:6" s="29" customFormat="1" ht="12.95" customHeight="1">
      <c r="A2" s="29" t="s">
        <v>23</v>
      </c>
      <c r="B2" s="29" t="s">
        <v>40</v>
      </c>
      <c r="C2" s="30"/>
      <c r="D2" s="30"/>
      <c r="E2" s="29">
        <v>0</v>
      </c>
    </row>
    <row r="3" spans="1:6" s="29" customFormat="1" ht="12.95" customHeight="1" thickBot="1"/>
    <row r="4" spans="1:6" s="29" customFormat="1" ht="12.95" customHeight="1" thickTop="1" thickBot="1">
      <c r="A4" s="31" t="s">
        <v>0</v>
      </c>
      <c r="C4" s="32">
        <v>52645.6567</v>
      </c>
      <c r="D4" s="33">
        <v>1.0848199999999999</v>
      </c>
    </row>
    <row r="5" spans="1:6" s="29" customFormat="1" ht="12.95" customHeight="1" thickTop="1">
      <c r="A5" s="34" t="s">
        <v>28</v>
      </c>
      <c r="C5" s="35">
        <v>-9.5</v>
      </c>
      <c r="D5" s="29" t="s">
        <v>29</v>
      </c>
    </row>
    <row r="6" spans="1:6" s="29" customFormat="1" ht="12.95" customHeight="1">
      <c r="A6" s="31" t="s">
        <v>1</v>
      </c>
    </row>
    <row r="7" spans="1:6" s="29" customFormat="1" ht="12.95" customHeight="1">
      <c r="A7" s="29" t="s">
        <v>2</v>
      </c>
      <c r="C7" s="60">
        <v>52645.548217999996</v>
      </c>
      <c r="D7" s="37" t="s">
        <v>41</v>
      </c>
    </row>
    <row r="8" spans="1:6" s="29" customFormat="1" ht="12.95" customHeight="1">
      <c r="A8" s="29" t="s">
        <v>3</v>
      </c>
      <c r="C8" s="60">
        <v>1.0848199999999999</v>
      </c>
      <c r="D8" s="37" t="s">
        <v>41</v>
      </c>
    </row>
    <row r="9" spans="1:6" s="29" customFormat="1" ht="12.95" customHeight="1">
      <c r="A9" s="5" t="s">
        <v>33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6" s="29" customFormat="1" ht="12.95" customHeight="1" thickBot="1">
      <c r="C10" s="41" t="s">
        <v>19</v>
      </c>
      <c r="D10" s="41" t="s">
        <v>20</v>
      </c>
    </row>
    <row r="11" spans="1:6" s="29" customFormat="1" ht="12.95" customHeight="1">
      <c r="A11" s="29" t="s">
        <v>15</v>
      </c>
      <c r="C11" s="40">
        <f ca="1">INTERCEPT(INDIRECT($D$9):G990,INDIRECT($C$9):F990)</f>
        <v>0.10561150799453201</v>
      </c>
      <c r="D11" s="30"/>
    </row>
    <row r="12" spans="1:6" s="29" customFormat="1" ht="12.95" customHeight="1">
      <c r="A12" s="29" t="s">
        <v>16</v>
      </c>
      <c r="C12" s="40">
        <f ca="1">SLOPE(INDIRECT($D$9):G990,INDIRECT($C$9):F990)</f>
        <v>-2.207309205468493E-5</v>
      </c>
      <c r="D12" s="30"/>
    </row>
    <row r="13" spans="1:6" s="29" customFormat="1" ht="12.95" customHeight="1">
      <c r="A13" s="29" t="s">
        <v>18</v>
      </c>
      <c r="C13" s="30" t="s">
        <v>13</v>
      </c>
    </row>
    <row r="14" spans="1:6" s="29" customFormat="1" ht="12.95" customHeight="1"/>
    <row r="15" spans="1:6" s="29" customFormat="1" ht="12.95" customHeight="1">
      <c r="A15" s="42" t="s">
        <v>17</v>
      </c>
      <c r="C15" s="43">
        <f ca="1">(C7+C11)+(C8+C12)*INT(MAX(F21:F3531))</f>
        <v>57361.270417776825</v>
      </c>
      <c r="E15" s="37" t="s">
        <v>35</v>
      </c>
      <c r="F15" s="35">
        <v>1</v>
      </c>
    </row>
    <row r="16" spans="1:6" s="29" customFormat="1" ht="12.95" customHeight="1">
      <c r="A16" s="31" t="s">
        <v>4</v>
      </c>
      <c r="C16" s="44">
        <f ca="1">+C8+C12</f>
        <v>1.0847979269079453</v>
      </c>
      <c r="E16" s="37" t="s">
        <v>30</v>
      </c>
      <c r="F16" s="45">
        <f ca="1">NOW()+15018.5+$C$5/24</f>
        <v>60376.826922337961</v>
      </c>
    </row>
    <row r="17" spans="1:21" s="29" customFormat="1" ht="12.95" customHeight="1" thickBot="1">
      <c r="A17" s="37" t="s">
        <v>27</v>
      </c>
      <c r="C17" s="29">
        <f>COUNT(C21:C2189)</f>
        <v>10</v>
      </c>
      <c r="E17" s="37" t="s">
        <v>36</v>
      </c>
      <c r="F17" s="45">
        <f ca="1">ROUND(2*(F16-$C$7)/$C$8,0)/2+F15</f>
        <v>7128</v>
      </c>
    </row>
    <row r="18" spans="1:21" s="29" customFormat="1" ht="12.95" customHeight="1" thickTop="1" thickBot="1">
      <c r="A18" s="31" t="s">
        <v>5</v>
      </c>
      <c r="C18" s="46">
        <f ca="1">+C15</f>
        <v>57361.270417776825</v>
      </c>
      <c r="D18" s="47">
        <f ca="1">+C16</f>
        <v>1.0847979269079453</v>
      </c>
      <c r="E18" s="37" t="s">
        <v>31</v>
      </c>
      <c r="F18" s="40">
        <f ca="1">ROUND(2*(F16-$C$15)/$C$16,0)/2+F15</f>
        <v>2781</v>
      </c>
    </row>
    <row r="19" spans="1:21" s="29" customFormat="1" ht="12.95" customHeight="1" thickTop="1">
      <c r="E19" s="37" t="s">
        <v>32</v>
      </c>
      <c r="F19" s="48">
        <f ca="1">+$C$15+$C$16*F18-15018.5-$C$5/24</f>
        <v>45359.989285841155</v>
      </c>
    </row>
    <row r="20" spans="1:21" s="29" customFormat="1" ht="12.95" customHeight="1" thickBot="1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49" t="s">
        <v>55</v>
      </c>
      <c r="I20" s="49" t="s">
        <v>58</v>
      </c>
      <c r="J20" s="49" t="s">
        <v>52</v>
      </c>
      <c r="K20" s="49" t="s">
        <v>50</v>
      </c>
      <c r="L20" s="49" t="s">
        <v>24</v>
      </c>
      <c r="M20" s="49" t="s">
        <v>25</v>
      </c>
      <c r="N20" s="49" t="s">
        <v>26</v>
      </c>
      <c r="O20" s="49" t="s">
        <v>22</v>
      </c>
      <c r="P20" s="50" t="s">
        <v>21</v>
      </c>
      <c r="Q20" s="41" t="s">
        <v>14</v>
      </c>
      <c r="U20" s="51" t="s">
        <v>34</v>
      </c>
    </row>
    <row r="21" spans="1:21" s="29" customFormat="1" ht="12.95" customHeight="1">
      <c r="A21" s="37" t="s">
        <v>37</v>
      </c>
      <c r="C21" s="36">
        <v>52645.6567</v>
      </c>
      <c r="D21" s="36" t="s">
        <v>13</v>
      </c>
      <c r="E21" s="29">
        <f t="shared" ref="E21:E28" si="0">+(C21-C$7)/C$8</f>
        <v>0.10000000000302152</v>
      </c>
      <c r="F21" s="29">
        <f t="shared" ref="F21:F30" si="1">ROUND(2*E21,0)/2</f>
        <v>0</v>
      </c>
      <c r="G21" s="29">
        <f t="shared" ref="G21:G28" si="2">+C21-(C$7+F21*C$8)</f>
        <v>0.10848200000327779</v>
      </c>
      <c r="K21" s="29">
        <f>+G21</f>
        <v>0.10848200000327779</v>
      </c>
      <c r="O21" s="29">
        <f t="shared" ref="O21:O28" ca="1" si="3">+C$11+C$12*$F21</f>
        <v>0.10561150799453201</v>
      </c>
      <c r="Q21" s="52">
        <f t="shared" ref="Q21:Q28" si="4">+C21-15018.5</f>
        <v>37627.1567</v>
      </c>
    </row>
    <row r="22" spans="1:21" s="29" customFormat="1" ht="12.95" customHeight="1">
      <c r="A22" s="53" t="s">
        <v>64</v>
      </c>
      <c r="B22" s="54" t="s">
        <v>43</v>
      </c>
      <c r="C22" s="55">
        <v>54147.014900000002</v>
      </c>
      <c r="D22" s="36"/>
      <c r="E22" s="29">
        <f t="shared" si="0"/>
        <v>1384.0698751866723</v>
      </c>
      <c r="F22" s="29">
        <f t="shared" si="1"/>
        <v>1384</v>
      </c>
      <c r="G22" s="29">
        <f t="shared" si="2"/>
        <v>7.5802000006660819E-2</v>
      </c>
      <c r="K22" s="29">
        <f>+G22</f>
        <v>7.5802000006660819E-2</v>
      </c>
      <c r="O22" s="29">
        <f t="shared" ca="1" si="3"/>
        <v>7.5062348590848066E-2</v>
      </c>
      <c r="Q22" s="52">
        <f t="shared" si="4"/>
        <v>39128.514900000002</v>
      </c>
    </row>
    <row r="23" spans="1:21" s="29" customFormat="1" ht="12.95" customHeight="1">
      <c r="A23" s="6" t="s">
        <v>42</v>
      </c>
      <c r="B23" s="7" t="s">
        <v>43</v>
      </c>
      <c r="C23" s="6">
        <v>54866.242100000003</v>
      </c>
      <c r="D23" s="6">
        <v>4.0000000000000002E-4</v>
      </c>
      <c r="E23" s="29">
        <f t="shared" si="0"/>
        <v>2047.0620766578852</v>
      </c>
      <c r="F23" s="29">
        <f t="shared" si="1"/>
        <v>2047</v>
      </c>
      <c r="G23" s="29">
        <f t="shared" si="2"/>
        <v>6.7342000009375624E-2</v>
      </c>
      <c r="J23" s="29">
        <f>+G23</f>
        <v>6.7342000009375624E-2</v>
      </c>
      <c r="O23" s="29">
        <f t="shared" ca="1" si="3"/>
        <v>6.0427888558591956E-2</v>
      </c>
      <c r="Q23" s="52">
        <f t="shared" si="4"/>
        <v>39847.742100000003</v>
      </c>
    </row>
    <row r="24" spans="1:21" s="29" customFormat="1" ht="12.95" customHeight="1">
      <c r="A24" s="56" t="s">
        <v>46</v>
      </c>
      <c r="B24" s="56"/>
      <c r="C24" s="57">
        <v>55590.328600000001</v>
      </c>
      <c r="D24" s="57">
        <v>1.4500000000000001E-2</v>
      </c>
      <c r="E24" s="29">
        <f t="shared" si="0"/>
        <v>2714.5336387603516</v>
      </c>
      <c r="F24" s="29">
        <f t="shared" si="1"/>
        <v>2714.5</v>
      </c>
      <c r="G24" s="29">
        <f t="shared" si="2"/>
        <v>3.6492000006546732E-2</v>
      </c>
      <c r="J24" s="29">
        <f>+G24</f>
        <v>3.6492000006546732E-2</v>
      </c>
      <c r="O24" s="29">
        <f t="shared" ca="1" si="3"/>
        <v>4.5694099612089763E-2</v>
      </c>
      <c r="Q24" s="52">
        <f t="shared" si="4"/>
        <v>40571.828600000001</v>
      </c>
    </row>
    <row r="25" spans="1:21" s="29" customFormat="1" ht="12.95" customHeight="1">
      <c r="A25" s="56" t="s">
        <v>46</v>
      </c>
      <c r="B25" s="56"/>
      <c r="C25" s="57">
        <v>55590.337899999999</v>
      </c>
      <c r="D25" s="57">
        <v>1.4500000000000001E-2</v>
      </c>
      <c r="E25" s="29">
        <f t="shared" si="0"/>
        <v>2714.5422116111454</v>
      </c>
      <c r="F25" s="29">
        <f t="shared" si="1"/>
        <v>2714.5</v>
      </c>
      <c r="G25" s="29">
        <f t="shared" si="2"/>
        <v>4.5792000004439615E-2</v>
      </c>
      <c r="J25" s="29">
        <f>+G25</f>
        <v>4.5792000004439615E-2</v>
      </c>
      <c r="O25" s="29">
        <f t="shared" ca="1" si="3"/>
        <v>4.5694099612089763E-2</v>
      </c>
      <c r="Q25" s="52">
        <f t="shared" si="4"/>
        <v>40571.837899999999</v>
      </c>
    </row>
    <row r="26" spans="1:21" s="29" customFormat="1" ht="12.95" customHeight="1">
      <c r="A26" s="6" t="s">
        <v>44</v>
      </c>
      <c r="B26" s="7" t="s">
        <v>43</v>
      </c>
      <c r="C26" s="6">
        <v>55600.6371</v>
      </c>
      <c r="D26" s="6">
        <v>2.9999999999999997E-4</v>
      </c>
      <c r="E26" s="29">
        <f t="shared" si="0"/>
        <v>2724.0361368706367</v>
      </c>
      <c r="F26" s="29">
        <f t="shared" si="1"/>
        <v>2724</v>
      </c>
      <c r="G26" s="29">
        <f t="shared" si="2"/>
        <v>3.9202000007207971E-2</v>
      </c>
      <c r="K26" s="29">
        <f>+G26</f>
        <v>3.9202000007207971E-2</v>
      </c>
      <c r="O26" s="29">
        <f t="shared" ca="1" si="3"/>
        <v>4.5484405237570254E-2</v>
      </c>
      <c r="Q26" s="52">
        <f t="shared" si="4"/>
        <v>40582.1371</v>
      </c>
    </row>
    <row r="27" spans="1:21" s="29" customFormat="1" ht="12.95" customHeight="1">
      <c r="A27" s="58" t="s">
        <v>45</v>
      </c>
      <c r="B27" s="7" t="s">
        <v>43</v>
      </c>
      <c r="C27" s="6">
        <v>55894.618739999998</v>
      </c>
      <c r="D27" s="6">
        <v>2.9999999999999997E-4</v>
      </c>
      <c r="E27" s="29">
        <f t="shared" si="0"/>
        <v>2995.0319149720713</v>
      </c>
      <c r="F27" s="29">
        <f t="shared" si="1"/>
        <v>2995</v>
      </c>
      <c r="G27" s="29">
        <f t="shared" si="2"/>
        <v>3.4621999999217223E-2</v>
      </c>
      <c r="K27" s="29">
        <f>+G27</f>
        <v>3.4621999999217223E-2</v>
      </c>
      <c r="O27" s="29">
        <f t="shared" ca="1" si="3"/>
        <v>3.9502597290750646E-2</v>
      </c>
      <c r="Q27" s="52">
        <f t="shared" si="4"/>
        <v>40876.118739999998</v>
      </c>
    </row>
    <row r="28" spans="1:21">
      <c r="A28" s="21" t="s">
        <v>47</v>
      </c>
      <c r="B28" s="22" t="s">
        <v>43</v>
      </c>
      <c r="C28" s="23">
        <v>56597.574079999999</v>
      </c>
      <c r="D28" s="21">
        <v>4.0000000000000002E-4</v>
      </c>
      <c r="E28">
        <f t="shared" si="0"/>
        <v>3643.0245220405254</v>
      </c>
      <c r="F28">
        <f t="shared" si="1"/>
        <v>3643</v>
      </c>
      <c r="G28">
        <f t="shared" si="2"/>
        <v>2.6602000005368609E-2</v>
      </c>
      <c r="K28">
        <f>+G28</f>
        <v>2.6602000005368609E-2</v>
      </c>
      <c r="O28">
        <f t="shared" ca="1" si="3"/>
        <v>2.5199233639314811E-2</v>
      </c>
      <c r="Q28" s="1">
        <f t="shared" si="4"/>
        <v>41579.074079999999</v>
      </c>
    </row>
    <row r="29" spans="1:21">
      <c r="A29" s="24" t="s">
        <v>88</v>
      </c>
      <c r="B29" s="25" t="s">
        <v>43</v>
      </c>
      <c r="C29" s="26">
        <v>57327.644840000001</v>
      </c>
      <c r="D29" s="26">
        <v>4.0000000000000002E-4</v>
      </c>
      <c r="E29">
        <f>+(C29-C$7)/C$8</f>
        <v>4316.0124463044604</v>
      </c>
      <c r="F29">
        <f t="shared" si="1"/>
        <v>4316</v>
      </c>
      <c r="G29">
        <f>+C29-(C$7+F29*C$8)</f>
        <v>1.3502000008884352E-2</v>
      </c>
      <c r="K29">
        <f>+G29</f>
        <v>1.3502000008884352E-2</v>
      </c>
      <c r="O29">
        <f ca="1">+C$11+C$12*$F29</f>
        <v>1.0344042686511845E-2</v>
      </c>
      <c r="Q29" s="1">
        <f>+C29-15018.5</f>
        <v>42309.144840000001</v>
      </c>
    </row>
    <row r="30" spans="1:21">
      <c r="A30" s="27" t="s">
        <v>87</v>
      </c>
      <c r="B30" s="28" t="s">
        <v>43</v>
      </c>
      <c r="C30" s="27">
        <v>57361.275600000001</v>
      </c>
      <c r="D30" s="27" t="s">
        <v>57</v>
      </c>
      <c r="E30">
        <f>+(C30-C$7)/C$8</f>
        <v>4347.0136815324249</v>
      </c>
      <c r="F30">
        <f t="shared" si="1"/>
        <v>4347</v>
      </c>
      <c r="G30">
        <f>+C30-(C$7+F30*C$8)</f>
        <v>1.4842000004136935E-2</v>
      </c>
      <c r="K30">
        <f>+G30</f>
        <v>1.4842000004136935E-2</v>
      </c>
      <c r="O30">
        <f ca="1">+C$11+C$12*$F30</f>
        <v>9.6597768328166161E-3</v>
      </c>
      <c r="Q30" s="1">
        <f>+C30-15018.5</f>
        <v>42342.775600000001</v>
      </c>
    </row>
    <row r="31" spans="1:21">
      <c r="C31" s="3"/>
      <c r="D31" s="3"/>
      <c r="Q31" s="1"/>
    </row>
    <row r="32" spans="1:21">
      <c r="C32" s="3"/>
      <c r="D32" s="3"/>
    </row>
    <row r="33" spans="3:4">
      <c r="C33" s="3"/>
      <c r="D33" s="3"/>
    </row>
    <row r="34" spans="3:4">
      <c r="C34" s="3"/>
      <c r="D34" s="3"/>
    </row>
    <row r="35" spans="3:4">
      <c r="C35" s="3"/>
      <c r="D35" s="3"/>
    </row>
    <row r="36" spans="3:4">
      <c r="C36" s="3"/>
      <c r="D36" s="3"/>
    </row>
    <row r="37" spans="3:4">
      <c r="C37" s="3"/>
      <c r="D37" s="3"/>
    </row>
    <row r="38" spans="3:4">
      <c r="C38" s="3"/>
      <c r="D38" s="3"/>
    </row>
    <row r="39" spans="3:4">
      <c r="C39" s="3"/>
      <c r="D39" s="3"/>
    </row>
    <row r="40" spans="3:4">
      <c r="C40" s="3"/>
      <c r="D40" s="3"/>
    </row>
    <row r="41" spans="3:4">
      <c r="C41" s="3"/>
      <c r="D41" s="3"/>
    </row>
    <row r="42" spans="3:4">
      <c r="C42" s="3"/>
      <c r="D42" s="3"/>
    </row>
    <row r="43" spans="3:4">
      <c r="C43" s="3"/>
      <c r="D43" s="3"/>
    </row>
    <row r="44" spans="3:4">
      <c r="C44" s="3"/>
      <c r="D44" s="3"/>
    </row>
    <row r="45" spans="3:4">
      <c r="C45" s="3"/>
      <c r="D45" s="3"/>
    </row>
    <row r="46" spans="3:4">
      <c r="C46" s="3"/>
      <c r="D46" s="3"/>
    </row>
    <row r="47" spans="3:4">
      <c r="C47" s="3"/>
      <c r="D47" s="3"/>
    </row>
    <row r="48" spans="3:4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9"/>
  <sheetViews>
    <sheetView workbookViewId="0">
      <selection activeCell="A11" sqref="A11:C11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8" t="s">
        <v>48</v>
      </c>
      <c r="I1" s="9" t="s">
        <v>49</v>
      </c>
      <c r="J1" s="10" t="s">
        <v>50</v>
      </c>
    </row>
    <row r="2" spans="1:16">
      <c r="I2" s="11" t="s">
        <v>51</v>
      </c>
      <c r="J2" s="12" t="s">
        <v>52</v>
      </c>
    </row>
    <row r="3" spans="1:16">
      <c r="A3" s="13" t="s">
        <v>53</v>
      </c>
      <c r="I3" s="11" t="s">
        <v>54</v>
      </c>
      <c r="J3" s="12" t="s">
        <v>55</v>
      </c>
    </row>
    <row r="4" spans="1:16">
      <c r="I4" s="11" t="s">
        <v>56</v>
      </c>
      <c r="J4" s="12" t="s">
        <v>55</v>
      </c>
    </row>
    <row r="5" spans="1:16" ht="13.5" thickBot="1">
      <c r="I5" s="14" t="s">
        <v>57</v>
      </c>
      <c r="J5" s="15" t="s">
        <v>58</v>
      </c>
    </row>
    <row r="10" spans="1:16" ht="13.5" thickBot="1"/>
    <row r="11" spans="1:16" ht="12.75" customHeight="1" thickBot="1">
      <c r="A11" s="3" t="str">
        <f>P11</f>
        <v>VSB 46 </v>
      </c>
      <c r="B11" s="2" t="str">
        <f>IF(H11=INT(H11),"I","II")</f>
        <v>I</v>
      </c>
      <c r="C11" s="3">
        <f>1*G11</f>
        <v>54147.014900000002</v>
      </c>
      <c r="D11" s="4" t="str">
        <f>VLOOKUP(F11,I$1:J$5,2,FALSE)</f>
        <v>vis</v>
      </c>
      <c r="E11" s="16">
        <f>VLOOKUP(C11,Active!C$21:E$971,3,FALSE)</f>
        <v>1384.0698751866723</v>
      </c>
      <c r="F11" s="2" t="s">
        <v>57</v>
      </c>
      <c r="G11" s="4" t="str">
        <f>MID(I11,3,LEN(I11)-3)</f>
        <v>54147.0149</v>
      </c>
      <c r="H11" s="3">
        <f>1*K11</f>
        <v>1384</v>
      </c>
      <c r="I11" s="17" t="s">
        <v>59</v>
      </c>
      <c r="J11" s="18" t="s">
        <v>60</v>
      </c>
      <c r="K11" s="17">
        <v>1384</v>
      </c>
      <c r="L11" s="17" t="s">
        <v>61</v>
      </c>
      <c r="M11" s="18" t="s">
        <v>62</v>
      </c>
      <c r="N11" s="18" t="s">
        <v>57</v>
      </c>
      <c r="O11" s="19" t="s">
        <v>63</v>
      </c>
      <c r="P11" s="20" t="s">
        <v>64</v>
      </c>
    </row>
    <row r="12" spans="1:16" ht="12.75" customHeight="1" thickBot="1">
      <c r="A12" s="3" t="str">
        <f>P12</f>
        <v>BAVM 214 </v>
      </c>
      <c r="B12" s="2" t="str">
        <f>IF(H12=INT(H12),"I","II")</f>
        <v>I</v>
      </c>
      <c r="C12" s="3">
        <f>1*G12</f>
        <v>54866.242100000003</v>
      </c>
      <c r="D12" s="4" t="str">
        <f>VLOOKUP(F12,I$1:J$5,2,FALSE)</f>
        <v>vis</v>
      </c>
      <c r="E12" s="16">
        <f>VLOOKUP(C12,Active!C$21:E$971,3,FALSE)</f>
        <v>2047.0620766578852</v>
      </c>
      <c r="F12" s="2" t="s">
        <v>57</v>
      </c>
      <c r="G12" s="4" t="str">
        <f>MID(I12,3,LEN(I12)-3)</f>
        <v>54866.2421</v>
      </c>
      <c r="H12" s="3">
        <f>1*K12</f>
        <v>2047</v>
      </c>
      <c r="I12" s="17" t="s">
        <v>65</v>
      </c>
      <c r="J12" s="18" t="s">
        <v>66</v>
      </c>
      <c r="K12" s="17">
        <v>2047</v>
      </c>
      <c r="L12" s="17" t="s">
        <v>67</v>
      </c>
      <c r="M12" s="18" t="s">
        <v>62</v>
      </c>
      <c r="N12" s="18" t="s">
        <v>68</v>
      </c>
      <c r="O12" s="19" t="s">
        <v>69</v>
      </c>
      <c r="P12" s="20" t="s">
        <v>70</v>
      </c>
    </row>
    <row r="13" spans="1:16" ht="12.75" customHeight="1" thickBot="1">
      <c r="A13" s="3" t="str">
        <f>P13</f>
        <v>BAVM 215 </v>
      </c>
      <c r="B13" s="2" t="str">
        <f>IF(H13=INT(H13),"I","II")</f>
        <v>II</v>
      </c>
      <c r="C13" s="3">
        <f>1*G13</f>
        <v>55590.328600000001</v>
      </c>
      <c r="D13" s="4" t="str">
        <f>VLOOKUP(F13,I$1:J$5,2,FALSE)</f>
        <v>vis</v>
      </c>
      <c r="E13" s="16">
        <f>VLOOKUP(C13,Active!C$21:E$971,3,FALSE)</f>
        <v>2714.5336387603516</v>
      </c>
      <c r="F13" s="2" t="s">
        <v>57</v>
      </c>
      <c r="G13" s="4" t="str">
        <f>MID(I13,3,LEN(I13)-3)</f>
        <v>55590.3286</v>
      </c>
      <c r="H13" s="3">
        <f>1*K13</f>
        <v>2714.5</v>
      </c>
      <c r="I13" s="17" t="s">
        <v>71</v>
      </c>
      <c r="J13" s="18" t="s">
        <v>72</v>
      </c>
      <c r="K13" s="17" t="s">
        <v>73</v>
      </c>
      <c r="L13" s="17" t="s">
        <v>74</v>
      </c>
      <c r="M13" s="18" t="s">
        <v>62</v>
      </c>
      <c r="N13" s="18" t="s">
        <v>57</v>
      </c>
      <c r="O13" s="19" t="s">
        <v>69</v>
      </c>
      <c r="P13" s="20" t="s">
        <v>75</v>
      </c>
    </row>
    <row r="14" spans="1:16" ht="12.75" customHeight="1" thickBot="1">
      <c r="A14" s="3" t="str">
        <f>P14</f>
        <v>BAVM 215 </v>
      </c>
      <c r="B14" s="2" t="str">
        <f>IF(H14=INT(H14),"I","II")</f>
        <v>II</v>
      </c>
      <c r="C14" s="3">
        <f>1*G14</f>
        <v>55590.337899999999</v>
      </c>
      <c r="D14" s="4" t="str">
        <f>VLOOKUP(F14,I$1:J$5,2,FALSE)</f>
        <v>vis</v>
      </c>
      <c r="E14" s="16">
        <f>VLOOKUP(C14,Active!C$21:E$971,3,FALSE)</f>
        <v>2714.5422116111454</v>
      </c>
      <c r="F14" s="2" t="s">
        <v>57</v>
      </c>
      <c r="G14" s="4" t="str">
        <f>MID(I14,3,LEN(I14)-3)</f>
        <v>55590.3379</v>
      </c>
      <c r="H14" s="3">
        <f>1*K14</f>
        <v>2714.5</v>
      </c>
      <c r="I14" s="17" t="s">
        <v>76</v>
      </c>
      <c r="J14" s="18" t="s">
        <v>77</v>
      </c>
      <c r="K14" s="17" t="s">
        <v>73</v>
      </c>
      <c r="L14" s="17" t="s">
        <v>78</v>
      </c>
      <c r="M14" s="18" t="s">
        <v>62</v>
      </c>
      <c r="N14" s="18" t="s">
        <v>79</v>
      </c>
      <c r="O14" s="19" t="s">
        <v>69</v>
      </c>
      <c r="P14" s="20" t="s">
        <v>75</v>
      </c>
    </row>
    <row r="15" spans="1:16" ht="12.75" customHeight="1" thickBot="1">
      <c r="A15" s="3" t="str">
        <f>P15</f>
        <v>OEJV 0160 </v>
      </c>
      <c r="B15" s="2" t="str">
        <f>IF(H15=INT(H15),"I","II")</f>
        <v>I</v>
      </c>
      <c r="C15" s="3">
        <f>1*G15</f>
        <v>55894.618739999998</v>
      </c>
      <c r="D15" s="4" t="str">
        <f>VLOOKUP(F15,I$1:J$5,2,FALSE)</f>
        <v>vis</v>
      </c>
      <c r="E15" s="16">
        <f>VLOOKUP(C15,Active!C$21:E$971,3,FALSE)</f>
        <v>2995.0319149720713</v>
      </c>
      <c r="F15" s="2" t="s">
        <v>57</v>
      </c>
      <c r="G15" s="4" t="str">
        <f>MID(I15,3,LEN(I15)-3)</f>
        <v>55894.61874</v>
      </c>
      <c r="H15" s="3">
        <f>1*K15</f>
        <v>2995</v>
      </c>
      <c r="I15" s="17" t="s">
        <v>80</v>
      </c>
      <c r="J15" s="18" t="s">
        <v>81</v>
      </c>
      <c r="K15" s="17" t="s">
        <v>82</v>
      </c>
      <c r="L15" s="17" t="s">
        <v>83</v>
      </c>
      <c r="M15" s="18" t="s">
        <v>62</v>
      </c>
      <c r="N15" s="18" t="s">
        <v>84</v>
      </c>
      <c r="O15" s="19" t="s">
        <v>85</v>
      </c>
      <c r="P15" s="20" t="s">
        <v>86</v>
      </c>
    </row>
    <row r="16" spans="1:16">
      <c r="B16" s="2"/>
      <c r="E16" s="16"/>
      <c r="F16" s="2"/>
    </row>
    <row r="17" spans="2:6">
      <c r="B17" s="2"/>
      <c r="E17" s="16"/>
      <c r="F17" s="2"/>
    </row>
    <row r="18" spans="2:6">
      <c r="B18" s="2"/>
      <c r="E18" s="16"/>
      <c r="F18" s="2"/>
    </row>
    <row r="19" spans="2:6">
      <c r="B19" s="2"/>
      <c r="E19" s="16"/>
      <c r="F19" s="2"/>
    </row>
    <row r="20" spans="2:6">
      <c r="B20" s="2"/>
      <c r="E20" s="16"/>
      <c r="F20" s="2"/>
    </row>
    <row r="21" spans="2:6">
      <c r="B21" s="2"/>
      <c r="E21" s="16"/>
      <c r="F21" s="2"/>
    </row>
    <row r="22" spans="2:6">
      <c r="B22" s="2"/>
      <c r="F22" s="2"/>
    </row>
    <row r="23" spans="2:6">
      <c r="B23" s="2"/>
      <c r="F23" s="2"/>
    </row>
    <row r="24" spans="2:6">
      <c r="B24" s="2"/>
      <c r="F24" s="2"/>
    </row>
    <row r="25" spans="2:6">
      <c r="B25" s="2"/>
      <c r="F25" s="2"/>
    </row>
    <row r="26" spans="2:6">
      <c r="B26" s="2"/>
      <c r="F26" s="2"/>
    </row>
    <row r="27" spans="2:6">
      <c r="B27" s="2"/>
      <c r="F27" s="2"/>
    </row>
    <row r="28" spans="2:6">
      <c r="B28" s="2"/>
      <c r="F28" s="2"/>
    </row>
    <row r="29" spans="2:6">
      <c r="B29" s="2"/>
      <c r="F29" s="2"/>
    </row>
    <row r="30" spans="2:6">
      <c r="B30" s="2"/>
      <c r="F30" s="2"/>
    </row>
    <row r="31" spans="2:6">
      <c r="B31" s="2"/>
      <c r="F31" s="2"/>
    </row>
    <row r="32" spans="2:6">
      <c r="B32" s="2"/>
      <c r="F32" s="2"/>
    </row>
    <row r="33" spans="2:6">
      <c r="B33" s="2"/>
      <c r="F33" s="2"/>
    </row>
    <row r="34" spans="2:6">
      <c r="B34" s="2"/>
      <c r="F34" s="2"/>
    </row>
    <row r="35" spans="2:6">
      <c r="B35" s="2"/>
      <c r="F35" s="2"/>
    </row>
    <row r="36" spans="2:6">
      <c r="B36" s="2"/>
      <c r="F36" s="2"/>
    </row>
    <row r="37" spans="2:6">
      <c r="B37" s="2"/>
      <c r="F37" s="2"/>
    </row>
    <row r="38" spans="2:6">
      <c r="B38" s="2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</sheetData>
  <phoneticPr fontId="7" type="noConversion"/>
  <hyperlinks>
    <hyperlink ref="P11" r:id="rId1" display="http://vsolj.cetus-net.org/no46.pdf"/>
    <hyperlink ref="P12" r:id="rId2" display="http://www.bav-astro.de/sfs/BAVM_link.php?BAVMnr=214"/>
    <hyperlink ref="P13" r:id="rId3" display="http://www.bav-astro.de/sfs/BAVM_link.php?BAVMnr=215"/>
    <hyperlink ref="P14" r:id="rId4" display="http://www.bav-astro.de/sfs/BAVM_link.php?BAVMnr=215"/>
    <hyperlink ref="P15" r:id="rId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2024-03-07T06:50:46Z</dcterms:modified>
</cp:coreProperties>
</file>