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70B4E00-C34D-4618-A34C-272DCACD191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E24" i="1"/>
  <c r="F24" i="1"/>
  <c r="G24" i="1"/>
  <c r="I24" i="1"/>
  <c r="G11" i="1"/>
  <c r="F11" i="1"/>
  <c r="E14" i="1"/>
  <c r="E15" i="1" s="1"/>
  <c r="E23" i="1"/>
  <c r="F23" i="1"/>
  <c r="G23" i="1"/>
  <c r="I23" i="1"/>
  <c r="Q23" i="1"/>
  <c r="C17" i="1"/>
  <c r="E22" i="1"/>
  <c r="F22" i="1"/>
  <c r="G22" i="1"/>
  <c r="I22" i="1"/>
  <c r="E21" i="1"/>
  <c r="F21" i="1"/>
  <c r="G21" i="1"/>
  <c r="H21" i="1"/>
  <c r="Q22" i="1"/>
  <c r="R22" i="1"/>
  <c r="Q21" i="1"/>
  <c r="C11" i="1"/>
  <c r="C12" i="1" l="1"/>
  <c r="C16" i="1" l="1"/>
  <c r="D18" i="1" s="1"/>
  <c r="O23" i="1"/>
  <c r="O22" i="1"/>
  <c r="O24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<sst xmlns="http://schemas.openxmlformats.org/spreadsheetml/2006/main" count="56" uniqueCount="51">
  <si>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</si>
  <si>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</si>
  <si>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</si>
  <si>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</si>
  <si>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</si>
  <si>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</si>
  <si>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</si>
  <si>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</si>
  <si>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</si>
  <si>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</si>
  <si>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</si>
  <si>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</si>
  <si>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</si>
  <si>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</si>
  <si>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</si>
  <si>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</si>
  <si>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</si>
  <si>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</si>
  <si>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</si>
  <si>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</si>
  <si>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</si>
  <si>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</si>
  <si>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</si>
  <si>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</si>
  <si>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</si>
  <si>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</si>
  <si>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</si>
  <si>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</si>
  <si>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</si>
  <si>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</si>
  <si>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</si>
  <si>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</si>
  <si>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</si>
  <si>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</si>
  <si>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</si>
  <si>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</si>
  <si>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</si>
  <si>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</si>
  <si>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0091</t>
  </si>
  <si>
    <t>not avail.</t>
  </si>
  <si>
    <t>EA</t>
  </si>
  <si>
    <t>Tau</t>
  </si>
  <si>
    <t>IBVS 5966</t>
  </si>
  <si>
    <t>IBVS 5960</t>
  </si>
  <si>
    <t>I</t>
  </si>
  <si>
    <t>Add cycle</t>
  </si>
  <si>
    <t>Old Cycle</t>
  </si>
  <si>
    <t>RHN 2014</t>
  </si>
  <si>
    <t>V1295 Tau / GSC 1822-0314</t>
  </si>
  <si>
    <t>Nelson pers com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</si>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</sst>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V1295 Tau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1890</c:v>
                </c:pt>
                <c:pt idx="2">
                  <c:v>1880</c:v>
                </c:pt>
                <c:pt idx="3">
                  <c:v>2567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87-4DA3-A7ED-CF8B770323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1890</c:v>
                </c:pt>
                <c:pt idx="2">
                  <c:v>1880</c:v>
                </c:pt>
                <c:pt idx="3">
                  <c:v>2567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2.1299999993061647E-2</c:v>
                </c:pt>
                <c:pt idx="2">
                  <c:v>2.0499999998719431E-2</c:v>
                </c:pt>
                <c:pt idx="3">
                  <c:v>4.3600000004516914E-2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87-4DA3-A7ED-CF8B770323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1890</c:v>
                </c:pt>
                <c:pt idx="2">
                  <c:v>1880</c:v>
                </c:pt>
                <c:pt idx="3">
                  <c:v>2567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87-4DA3-A7ED-CF8B770323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1890</c:v>
                </c:pt>
                <c:pt idx="2">
                  <c:v>1880</c:v>
                </c:pt>
                <c:pt idx="3">
                  <c:v>2567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87-4DA3-A7ED-CF8B770323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1890</c:v>
                </c:pt>
                <c:pt idx="2">
                  <c:v>1880</c:v>
                </c:pt>
                <c:pt idx="3">
                  <c:v>2567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87-4DA3-A7ED-CF8B770323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1890</c:v>
                </c:pt>
                <c:pt idx="2">
                  <c:v>1880</c:v>
                </c:pt>
                <c:pt idx="3">
                  <c:v>2567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87-4DA3-A7ED-CF8B770323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1890</c:v>
                </c:pt>
                <c:pt idx="2">
                  <c:v>1880</c:v>
                </c:pt>
                <c:pt idx="3">
                  <c:v>2567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87-4DA3-A7ED-CF8B770323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1890</c:v>
                </c:pt>
                <c:pt idx="2">
                  <c:v>1880</c:v>
                </c:pt>
                <c:pt idx="3">
                  <c:v>2567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-4.1857111500479743E-2</c:v>
                </c:pt>
                <c:pt idx="1">
                  <c:v>2.1064747770582801E-2</c:v>
                </c:pt>
                <c:pt idx="2">
                  <c:v>2.0731827880259721E-2</c:v>
                </c:pt>
                <c:pt idx="3">
                  <c:v>4.3603424345455472E-2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87-4DA3-A7ED-CF8B77032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524784"/>
        <c:axId val="1"/>
      </c:scatterChart>
      <c:valAx>
        <c:axId val="580524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524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2E93E9-BBD4-209C-A411-C8746EA15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1" t="s">
        <v>48</v>
      </c>
    </row>
    <row r="2" spans="1:7" s="2" customFormat="1" ht="12.95" customHeight="1" x14ac:dyDescent="0.2">
      <c r="A2" s="2" t="s">
        <v>24</v>
      </c>
      <c r="B2" s="2" t="s">
        <v>40</v>
      </c>
      <c r="C2" s="3"/>
      <c r="D2" s="3" t="s">
        <v>41</v>
      </c>
    </row>
    <row r="3" spans="1:7" s="2" customFormat="1" ht="12.95" customHeight="1" thickBot="1" x14ac:dyDescent="0.25"/>
    <row r="4" spans="1:7" s="2" customFormat="1" ht="12.95" customHeight="1" thickTop="1" thickBot="1" x14ac:dyDescent="0.25">
      <c r="A4" s="4" t="s">
        <v>0</v>
      </c>
      <c r="C4" s="5" t="s">
        <v>39</v>
      </c>
      <c r="D4" s="6" t="s">
        <v>39</v>
      </c>
    </row>
    <row r="5" spans="1:7" s="2" customFormat="1" ht="12.95" customHeight="1" x14ac:dyDescent="0.2"/>
    <row r="6" spans="1:7" s="2" customFormat="1" ht="12.95" customHeight="1" x14ac:dyDescent="0.2">
      <c r="A6" s="4" t="s">
        <v>1</v>
      </c>
    </row>
    <row r="7" spans="1:7" s="2" customFormat="1" ht="12.95" customHeight="1" x14ac:dyDescent="0.2">
      <c r="A7" s="2" t="s">
        <v>2</v>
      </c>
      <c r="C7" s="2">
        <v>51566.648000000001</v>
      </c>
      <c r="D7" s="7" t="s">
        <v>38</v>
      </c>
    </row>
    <row r="8" spans="1:7" s="2" customFormat="1" ht="12.95" customHeight="1" x14ac:dyDescent="0.2">
      <c r="A8" s="2" t="s">
        <v>3</v>
      </c>
      <c r="C8" s="2">
        <v>2.0916000000000001</v>
      </c>
      <c r="D8" s="7" t="s">
        <v>38</v>
      </c>
    </row>
    <row r="9" spans="1:7" s="2" customFormat="1" ht="12.95" customHeight="1" x14ac:dyDescent="0.2">
      <c r="A9" s="8" t="s">
        <v>31</v>
      </c>
      <c r="C9" s="9">
        <v>-9.5</v>
      </c>
      <c r="D9" s="2" t="s">
        <v>32</v>
      </c>
    </row>
    <row r="10" spans="1:7" s="2" customFormat="1" ht="12.95" customHeight="1" thickBot="1" x14ac:dyDescent="0.25">
      <c r="C10" s="10" t="s">
        <v>20</v>
      </c>
      <c r="D10" s="10" t="s">
        <v>21</v>
      </c>
    </row>
    <row r="11" spans="1:7" s="2" customFormat="1" ht="12.95" customHeight="1" x14ac:dyDescent="0.2">
      <c r="A11" s="2" t="s">
        <v>15</v>
      </c>
      <c r="C11" s="11">
        <f ca="1">INTERCEPT(INDIRECT($G$11):G992,INDIRECT($F$11):F992)</f>
        <v>-4.1857111500479743E-2</v>
      </c>
      <c r="D11" s="3"/>
      <c r="F11" s="12" t="str">
        <f>"F"&amp;E19</f>
        <v>F22</v>
      </c>
      <c r="G11" s="11" t="str">
        <f>"G"&amp;E19</f>
        <v>G22</v>
      </c>
    </row>
    <row r="12" spans="1:7" s="2" customFormat="1" ht="12.95" customHeight="1" x14ac:dyDescent="0.2">
      <c r="A12" s="2" t="s">
        <v>16</v>
      </c>
      <c r="C12" s="11">
        <f ca="1">SLOPE(INDIRECT($G$11):G992,INDIRECT($F$11):F992)</f>
        <v>3.3291989032308224E-5</v>
      </c>
      <c r="D12" s="3"/>
    </row>
    <row r="13" spans="1:7" s="2" customFormat="1" ht="12.95" customHeight="1" x14ac:dyDescent="0.2">
      <c r="A13" s="2" t="s">
        <v>19</v>
      </c>
      <c r="C13" s="3" t="s">
        <v>13</v>
      </c>
      <c r="D13" s="13" t="s">
        <v>45</v>
      </c>
      <c r="E13" s="9">
        <v>1</v>
      </c>
    </row>
    <row r="14" spans="1:7" s="2" customFormat="1" ht="12.95" customHeight="1" x14ac:dyDescent="0.2">
      <c r="D14" s="13" t="s">
        <v>33</v>
      </c>
      <c r="E14" s="14">
        <f ca="1">NOW()+15018.5+$C$9/24</f>
        <v>60376.835798842592</v>
      </c>
    </row>
    <row r="15" spans="1:7" s="2" customFormat="1" ht="12.95" customHeight="1" x14ac:dyDescent="0.2">
      <c r="A15" s="15" t="s">
        <v>17</v>
      </c>
      <c r="C15" s="16">
        <f ca="1">(C7+C11)+(C8+C12)*INT(MAX(F21:F3533))</f>
        <v>56935.828803424345</v>
      </c>
      <c r="D15" s="13" t="s">
        <v>46</v>
      </c>
      <c r="E15" s="14">
        <f ca="1">ROUND(2*(E14-$C$7)/$C$8,0)/2+E13</f>
        <v>4213</v>
      </c>
    </row>
    <row r="16" spans="1:7" s="2" customFormat="1" ht="12.95" customHeight="1" x14ac:dyDescent="0.2">
      <c r="A16" s="4" t="s">
        <v>4</v>
      </c>
      <c r="C16" s="17">
        <f ca="1">+C8+C12</f>
        <v>2.0916332919890324</v>
      </c>
      <c r="D16" s="13" t="s">
        <v>34</v>
      </c>
      <c r="E16" s="11">
        <f ca="1">ROUND(2*(E14-$C$15)/$C$16,0)/2+E13</f>
        <v>1646</v>
      </c>
    </row>
    <row r="17" spans="1:21" s="2" customFormat="1" ht="12.95" customHeight="1" thickBot="1" x14ac:dyDescent="0.25">
      <c r="A17" s="13" t="s">
        <v>30</v>
      </c>
      <c r="C17" s="2">
        <f>COUNT(C21:C2191)</f>
        <v>4</v>
      </c>
      <c r="D17" s="13" t="s">
        <v>35</v>
      </c>
      <c r="E17" s="18">
        <f ca="1">+$C$15+$C$16*E16-15018.5-$C$9/24</f>
        <v>45360.553035371631</v>
      </c>
    </row>
    <row r="18" spans="1:21" s="2" customFormat="1" ht="12.95" customHeight="1" thickTop="1" thickBot="1" x14ac:dyDescent="0.25">
      <c r="A18" s="4" t="s">
        <v>5</v>
      </c>
      <c r="C18" s="19">
        <f ca="1">+C15</f>
        <v>56935.828803424345</v>
      </c>
      <c r="D18" s="20">
        <f ca="1">+C16</f>
        <v>2.0916332919890324</v>
      </c>
      <c r="E18" s="21" t="s">
        <v>36</v>
      </c>
    </row>
    <row r="19" spans="1:21" s="2" customFormat="1" ht="12.95" customHeight="1" thickTop="1" x14ac:dyDescent="0.2">
      <c r="A19" s="22" t="s">
        <v>37</v>
      </c>
      <c r="E19" s="23">
        <v>22</v>
      </c>
    </row>
    <row r="20" spans="1:21" s="2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12</v>
      </c>
      <c r="E20" s="10" t="s">
        <v>9</v>
      </c>
      <c r="F20" s="10" t="s">
        <v>10</v>
      </c>
      <c r="G20" s="10" t="s">
        <v>11</v>
      </c>
      <c r="H20" s="24" t="s">
        <v>29</v>
      </c>
      <c r="I20" s="24" t="s">
        <v>50</v>
      </c>
      <c r="J20" s="24" t="s">
        <v>18</v>
      </c>
      <c r="K20" s="24" t="s">
        <v>25</v>
      </c>
      <c r="L20" s="24" t="s">
        <v>26</v>
      </c>
      <c r="M20" s="24" t="s">
        <v>27</v>
      </c>
      <c r="N20" s="24" t="s">
        <v>28</v>
      </c>
      <c r="O20" s="24" t="s">
        <v>23</v>
      </c>
      <c r="P20" s="25" t="s">
        <v>22</v>
      </c>
      <c r="Q20" s="10" t="s">
        <v>14</v>
      </c>
    </row>
    <row r="21" spans="1:21" s="2" customFormat="1" ht="12.95" customHeight="1" x14ac:dyDescent="0.2">
      <c r="A21" s="7" t="s">
        <v>38</v>
      </c>
      <c r="C21" s="26">
        <v>51566.648000000001</v>
      </c>
      <c r="D21" s="26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-4.1857111500479743E-2</v>
      </c>
      <c r="Q21" s="27">
        <f>+C21-15018.5</f>
        <v>36548.148000000001</v>
      </c>
    </row>
    <row r="22" spans="1:21" s="2" customFormat="1" ht="12.95" customHeight="1" x14ac:dyDescent="0.2">
      <c r="A22" s="4" t="s">
        <v>42</v>
      </c>
      <c r="C22" s="26">
        <v>55519.793299999998</v>
      </c>
      <c r="D22" s="26">
        <v>2.9999999999999997E-4</v>
      </c>
      <c r="E22" s="2">
        <f>+(C22-C$7)/C$8</f>
        <v>1890.010183591507</v>
      </c>
      <c r="F22" s="2">
        <f>ROUND(2*E22,0)/2</f>
        <v>1890</v>
      </c>
      <c r="G22" s="2">
        <f>+C22-(C$7+F22*C$8)</f>
        <v>2.1299999993061647E-2</v>
      </c>
      <c r="I22" s="2">
        <f>+G22</f>
        <v>2.1299999993061647E-2</v>
      </c>
      <c r="O22" s="2">
        <f ca="1">+C$11+C$12*$F22</f>
        <v>2.1064747770582801E-2</v>
      </c>
      <c r="Q22" s="27">
        <f>+C22-15018.5</f>
        <v>40501.293299999998</v>
      </c>
      <c r="R22" s="2" t="str">
        <f>IF(ABS(C22-C21)&lt;0.00001,1,"")</f>
        <v/>
      </c>
      <c r="U22" s="32" t="s">
        <v>49</v>
      </c>
    </row>
    <row r="23" spans="1:21" s="2" customFormat="1" ht="12.95" customHeight="1" x14ac:dyDescent="0.2">
      <c r="A23" s="28" t="s">
        <v>43</v>
      </c>
      <c r="B23" s="29" t="s">
        <v>44</v>
      </c>
      <c r="C23" s="30">
        <v>55498.876499999998</v>
      </c>
      <c r="D23" s="30">
        <v>8.9999999999999998E-4</v>
      </c>
      <c r="E23" s="2">
        <f>+(C23-C$7)/C$8</f>
        <v>1880.0098011091973</v>
      </c>
      <c r="F23" s="2">
        <f>ROUND(2*E23,0)/2</f>
        <v>1880</v>
      </c>
      <c r="G23" s="2">
        <f>+C23-(C$7+F23*C$8)</f>
        <v>2.0499999998719431E-2</v>
      </c>
      <c r="I23" s="2">
        <f>+G23</f>
        <v>2.0499999998719431E-2</v>
      </c>
      <c r="O23" s="2">
        <f ca="1">+C$11+C$12*$F23</f>
        <v>2.0731827880259721E-2</v>
      </c>
      <c r="Q23" s="27">
        <f>+C23-15018.5</f>
        <v>40480.376499999998</v>
      </c>
      <c r="U23" s="32"/>
    </row>
    <row r="24" spans="1:21" s="2" customFormat="1" ht="12.95" customHeight="1" x14ac:dyDescent="0.2">
      <c r="A24" s="4" t="s">
        <v>47</v>
      </c>
      <c r="C24" s="26">
        <v>56935.828800000003</v>
      </c>
      <c r="D24" s="26">
        <v>2.9999999999999997E-4</v>
      </c>
      <c r="E24" s="2">
        <f>+(C24-C$7)/C$8</f>
        <v>2567.0208452859065</v>
      </c>
      <c r="F24" s="2">
        <f>ROUND(2*E24,0)/2</f>
        <v>2567</v>
      </c>
      <c r="G24" s="2">
        <f>+C24-(C$7+F24*C$8)</f>
        <v>4.3600000004516914E-2</v>
      </c>
      <c r="I24" s="2">
        <f>+G24</f>
        <v>4.3600000004516914E-2</v>
      </c>
      <c r="O24" s="2">
        <f ca="1">+C$11+C$12*$F24</f>
        <v>4.3603424345455472E-2</v>
      </c>
      <c r="Q24" s="27">
        <f>+C24-15018.5</f>
        <v>41917.328800000003</v>
      </c>
      <c r="U24" s="32" t="s">
        <v>49</v>
      </c>
    </row>
    <row r="25" spans="1:21" s="2" customFormat="1" ht="12.95" customHeight="1" x14ac:dyDescent="0.2">
      <c r="C25" s="26"/>
      <c r="D25" s="26"/>
      <c r="Q25" s="27"/>
    </row>
    <row r="26" spans="1:21" s="2" customFormat="1" ht="12.95" customHeight="1" x14ac:dyDescent="0.2">
      <c r="C26" s="26"/>
      <c r="D26" s="26"/>
      <c r="Q26" s="27"/>
    </row>
    <row r="27" spans="1:21" s="2" customFormat="1" ht="12.95" customHeight="1" x14ac:dyDescent="0.2">
      <c r="C27" s="26"/>
      <c r="D27" s="26"/>
      <c r="Q27" s="27"/>
    </row>
    <row r="28" spans="1:21" s="2" customFormat="1" ht="12.95" customHeight="1" x14ac:dyDescent="0.2">
      <c r="C28" s="26"/>
      <c r="D28" s="26"/>
      <c r="Q28" s="27"/>
    </row>
    <row r="29" spans="1:21" s="2" customFormat="1" ht="12.95" customHeight="1" x14ac:dyDescent="0.2">
      <c r="C29" s="26"/>
      <c r="D29" s="26"/>
      <c r="Q29" s="27"/>
    </row>
    <row r="30" spans="1:21" s="2" customFormat="1" ht="12.95" customHeight="1" x14ac:dyDescent="0.2">
      <c r="C30" s="26"/>
      <c r="D30" s="26"/>
      <c r="Q30" s="27"/>
    </row>
    <row r="31" spans="1:21" s="2" customFormat="1" ht="12.95" customHeight="1" x14ac:dyDescent="0.2">
      <c r="C31" s="26"/>
      <c r="D31" s="26"/>
      <c r="Q31" s="27"/>
    </row>
    <row r="32" spans="1:21" s="2" customFormat="1" ht="12.95" customHeight="1" x14ac:dyDescent="0.2">
      <c r="C32" s="26"/>
      <c r="D32" s="26"/>
      <c r="Q32" s="27"/>
    </row>
    <row r="33" spans="3:17" s="2" customFormat="1" ht="12.95" customHeight="1" x14ac:dyDescent="0.2">
      <c r="C33" s="26"/>
      <c r="D33" s="26"/>
      <c r="Q33" s="27"/>
    </row>
    <row r="34" spans="3:17" s="2" customFormat="1" ht="12.95" customHeight="1" x14ac:dyDescent="0.2">
      <c r="C34" s="26"/>
      <c r="D34" s="26"/>
    </row>
    <row r="35" spans="3:17" s="2" customFormat="1" ht="12.95" customHeight="1" x14ac:dyDescent="0.2">
      <c r="C35" s="26"/>
      <c r="D35" s="26"/>
    </row>
    <row r="36" spans="3:17" s="2" customFormat="1" ht="12.95" customHeight="1" x14ac:dyDescent="0.2">
      <c r="C36" s="26"/>
      <c r="D36" s="26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2024-03-07T07:03:33Z</dcterms:modified>
</cp:coreProperties>
</file>