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3F265D9-ABAD-4F1B-B533-2ADF4A6A97B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C21" i="1"/>
  <c r="Q21" i="1"/>
  <c r="E21" i="1"/>
  <c r="F21" i="1"/>
  <c r="G21" i="1"/>
  <c r="H21" i="1"/>
  <c r="Q22" i="1"/>
  <c r="Q23" i="1"/>
  <c r="Q24" i="1"/>
  <c r="Q25" i="1"/>
  <c r="F11" i="1"/>
  <c r="A21" i="1"/>
  <c r="H20" i="1"/>
  <c r="G11" i="1"/>
  <c r="E14" i="1"/>
  <c r="E15" i="1" s="1"/>
  <c r="C17" i="1"/>
  <c r="C12" i="1"/>
  <c r="C11" i="1"/>
  <c r="O21" i="1" l="1"/>
  <c r="S21" i="1" s="1"/>
  <c r="O22" i="1"/>
  <c r="S22" i="1" s="1"/>
  <c r="C15" i="1"/>
  <c r="O23" i="1"/>
  <c r="S23" i="1" s="1"/>
  <c r="O24" i="1"/>
  <c r="S24" i="1" s="1"/>
  <c r="O25" i="1"/>
  <c r="S25" i="1" s="1"/>
  <c r="C16" i="1"/>
  <c r="D18" i="1" s="1"/>
  <c r="E16" i="1" l="1"/>
  <c r="E17" i="1" s="1"/>
  <c r="C18" i="1"/>
  <c r="S19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<sst xmlns="http://schemas.openxmlformats.org/spreadsheetml/2006/main" count="60" uniqueCount="55">
  <si>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</si>
  <si>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</si>
  <si>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</si>
  <si>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</si>
  <si>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</si>
  <si>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</si>
  <si>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</si>
  <si>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</si>
  <si>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</si>
  <si>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</si>
  <si>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</si>
  <si>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</si>
  <si>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</si>
  <si>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</si>
  <si>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</si>
  <si>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</si>
  <si>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</si>
  <si>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</si>
  <si>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</si>
  <si>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</si>
  <si>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</si>
  <si>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</si>
  <si>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</si>
  <si>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</si>
  <si>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</si>
  <si>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</si>
  <si>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</si>
  <si>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</si>
  <si>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</si>
  <si>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</si>
  <si>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</si>
  <si>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</si>
  <si>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</si>
  <si>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</si>
  <si>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</si>
  <si>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</si>
  <si>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</si>
  <si>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</si>
  <si>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</si>
  <si>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</si>
  <si>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</si>
  <si>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</si>
  <si>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G0076-0527</t>
  </si>
  <si>
    <t>IBVS 5945</t>
  </si>
  <si>
    <t>I</t>
  </si>
  <si>
    <t>IBVS 5960</t>
  </si>
  <si>
    <t>II</t>
  </si>
  <si>
    <t>IBVS 6011</t>
  </si>
  <si>
    <t>IBVS 6042</t>
  </si>
  <si>
    <t>G0076-0527_Tau.xls</t>
  </si>
  <si>
    <t>EB / EW</t>
  </si>
  <si>
    <t>Tau</t>
  </si>
  <si>
    <t>VSX</t>
  </si>
  <si>
    <t>V1387 Tau / GSC 0076-0527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</si>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</sst>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V1387 Tau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</c:v>
                </c:pt>
                <c:pt idx="2">
                  <c:v>2516.5</c:v>
                </c:pt>
                <c:pt idx="3">
                  <c:v>3694</c:v>
                </c:pt>
                <c:pt idx="4">
                  <c:v>4887.5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DB-4C41-A7ED-1C2ABDFB5E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</c:v>
                </c:pt>
                <c:pt idx="2">
                  <c:v>2516.5</c:v>
                </c:pt>
                <c:pt idx="3">
                  <c:v>3694</c:v>
                </c:pt>
                <c:pt idx="4">
                  <c:v>4887.5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-3.2760000030975789E-3</c:v>
                </c:pt>
                <c:pt idx="2">
                  <c:v>7.0949999644653872E-4</c:v>
                </c:pt>
                <c:pt idx="3">
                  <c:v>-2.5800000003073364E-4</c:v>
                </c:pt>
                <c:pt idx="4">
                  <c:v>2.6625000027706847E-3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DB-4C41-A7ED-1C2ABDFB5E4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</c:v>
                </c:pt>
                <c:pt idx="2">
                  <c:v>2516.5</c:v>
                </c:pt>
                <c:pt idx="3">
                  <c:v>3694</c:v>
                </c:pt>
                <c:pt idx="4">
                  <c:v>4887.5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DB-4C41-A7ED-1C2ABDFB5E4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</c:v>
                </c:pt>
                <c:pt idx="2">
                  <c:v>2516.5</c:v>
                </c:pt>
                <c:pt idx="3">
                  <c:v>3694</c:v>
                </c:pt>
                <c:pt idx="4">
                  <c:v>4887.5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DB-4C41-A7ED-1C2ABDFB5E4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</c:v>
                </c:pt>
                <c:pt idx="2">
                  <c:v>2516.5</c:v>
                </c:pt>
                <c:pt idx="3">
                  <c:v>3694</c:v>
                </c:pt>
                <c:pt idx="4">
                  <c:v>4887.5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DB-4C41-A7ED-1C2ABDFB5E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</c:v>
                </c:pt>
                <c:pt idx="2">
                  <c:v>2516.5</c:v>
                </c:pt>
                <c:pt idx="3">
                  <c:v>3694</c:v>
                </c:pt>
                <c:pt idx="4">
                  <c:v>4887.5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DB-4C41-A7ED-1C2ABDFB5E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</c:v>
                </c:pt>
                <c:pt idx="2">
                  <c:v>2516.5</c:v>
                </c:pt>
                <c:pt idx="3">
                  <c:v>3694</c:v>
                </c:pt>
                <c:pt idx="4">
                  <c:v>4887.5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DB-4C41-A7ED-1C2ABDFB5E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</c:v>
                </c:pt>
                <c:pt idx="2">
                  <c:v>2516.5</c:v>
                </c:pt>
                <c:pt idx="3">
                  <c:v>3694</c:v>
                </c:pt>
                <c:pt idx="4">
                  <c:v>4887.5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-1.654699488522833E-3</c:v>
                </c:pt>
                <c:pt idx="1">
                  <c:v>-6.5052863869759811E-4</c:v>
                </c:pt>
                <c:pt idx="2">
                  <c:v>-4.3094932664922755E-5</c:v>
                </c:pt>
                <c:pt idx="3">
                  <c:v>7.109938273281984E-4</c:v>
                </c:pt>
                <c:pt idx="4">
                  <c:v>1.4753292286460668E-3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DB-4C41-A7ED-1C2ABDFB5E4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</c:v>
                </c:pt>
                <c:pt idx="2">
                  <c:v>2516.5</c:v>
                </c:pt>
                <c:pt idx="3">
                  <c:v>3694</c:v>
                </c:pt>
                <c:pt idx="4">
                  <c:v>4887.5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DB-4C41-A7ED-1C2ABDFB5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840512"/>
        <c:axId val="1"/>
      </c:scatterChart>
      <c:valAx>
        <c:axId val="557840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840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C39935-B52A-0A75-9311-A33DE95EF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9" customFormat="1" ht="20.25" x14ac:dyDescent="0.2">
      <c r="A1" s="37" t="s">
        <v>53</v>
      </c>
      <c r="E1" s="9" t="s">
        <v>49</v>
      </c>
    </row>
    <row r="2" spans="1:7" s="9" customFormat="1" ht="12.95" customHeight="1" x14ac:dyDescent="0.2">
      <c r="A2" s="9" t="s">
        <v>24</v>
      </c>
      <c r="B2" s="9" t="s">
        <v>50</v>
      </c>
      <c r="C2" s="10" t="s">
        <v>41</v>
      </c>
      <c r="D2" s="11" t="s">
        <v>51</v>
      </c>
      <c r="E2" s="3" t="s">
        <v>42</v>
      </c>
      <c r="F2" s="9" t="e">
        <v>#N/A</v>
      </c>
    </row>
    <row r="3" spans="1:7" s="9" customFormat="1" ht="12.95" customHeight="1" thickBot="1" x14ac:dyDescent="0.25"/>
    <row r="4" spans="1:7" s="9" customFormat="1" ht="12.95" customHeight="1" thickTop="1" thickBot="1" x14ac:dyDescent="0.25">
      <c r="A4" s="12" t="s">
        <v>0</v>
      </c>
      <c r="C4" s="13" t="s">
        <v>40</v>
      </c>
      <c r="D4" s="14" t="s">
        <v>40</v>
      </c>
    </row>
    <row r="5" spans="1:7" s="9" customFormat="1" ht="12.95" customHeight="1" x14ac:dyDescent="0.2"/>
    <row r="6" spans="1:7" s="9" customFormat="1" ht="12.95" customHeight="1" x14ac:dyDescent="0.2">
      <c r="A6" s="12" t="s">
        <v>1</v>
      </c>
    </row>
    <row r="7" spans="1:7" s="9" customFormat="1" ht="12.95" customHeight="1" x14ac:dyDescent="0.2">
      <c r="A7" s="9" t="s">
        <v>2</v>
      </c>
      <c r="C7" s="38">
        <v>54720.879000000001</v>
      </c>
      <c r="D7" s="16" t="s">
        <v>52</v>
      </c>
    </row>
    <row r="8" spans="1:7" s="9" customFormat="1" ht="12.95" customHeight="1" x14ac:dyDescent="0.2">
      <c r="A8" s="9" t="s">
        <v>3</v>
      </c>
      <c r="C8" s="38">
        <v>0.30915700000000002</v>
      </c>
      <c r="D8" s="16" t="s">
        <v>52</v>
      </c>
    </row>
    <row r="9" spans="1:7" s="9" customFormat="1" ht="12.95" customHeight="1" x14ac:dyDescent="0.2">
      <c r="A9" s="17" t="s">
        <v>30</v>
      </c>
      <c r="C9" s="18">
        <v>-9.5</v>
      </c>
      <c r="D9" s="9" t="s">
        <v>31</v>
      </c>
    </row>
    <row r="10" spans="1:7" s="9" customFormat="1" ht="12.95" customHeight="1" thickBot="1" x14ac:dyDescent="0.25">
      <c r="C10" s="19" t="s">
        <v>20</v>
      </c>
      <c r="D10" s="19" t="s">
        <v>21</v>
      </c>
    </row>
    <row r="11" spans="1:7" s="9" customFormat="1" ht="12.95" customHeight="1" x14ac:dyDescent="0.2">
      <c r="A11" s="9" t="s">
        <v>15</v>
      </c>
      <c r="C11" s="20">
        <f ca="1">INTERCEPT(INDIRECT($G$11):G992,INDIRECT($F$11):F992)</f>
        <v>-1.654699488522833E-3</v>
      </c>
      <c r="D11" s="11"/>
      <c r="F11" s="21" t="str">
        <f>"F"&amp;E19</f>
        <v>F21</v>
      </c>
      <c r="G11" s="20" t="str">
        <f>"G"&amp;E19</f>
        <v>G21</v>
      </c>
    </row>
    <row r="12" spans="1:7" s="9" customFormat="1" ht="12.95" customHeight="1" x14ac:dyDescent="0.2">
      <c r="A12" s="9" t="s">
        <v>16</v>
      </c>
      <c r="C12" s="20">
        <f ca="1">SLOPE(INDIRECT($G$11):G992,INDIRECT($F$11):F992)</f>
        <v>6.4041508279670586E-7</v>
      </c>
      <c r="D12" s="11"/>
    </row>
    <row r="13" spans="1:7" s="9" customFormat="1" ht="12.95" customHeight="1" x14ac:dyDescent="0.2">
      <c r="A13" s="9" t="s">
        <v>19</v>
      </c>
      <c r="C13" s="11" t="s">
        <v>13</v>
      </c>
      <c r="D13" s="22" t="s">
        <v>37</v>
      </c>
      <c r="E13" s="18">
        <v>1</v>
      </c>
    </row>
    <row r="14" spans="1:7" s="9" customFormat="1" ht="12.95" customHeight="1" x14ac:dyDescent="0.2">
      <c r="D14" s="22" t="s">
        <v>32</v>
      </c>
      <c r="E14" s="23">
        <f ca="1">NOW()+15018.5+$C$9/24</f>
        <v>60378.576159722223</v>
      </c>
    </row>
    <row r="15" spans="1:7" s="9" customFormat="1" ht="12.95" customHeight="1" x14ac:dyDescent="0.2">
      <c r="A15" s="24" t="s">
        <v>17</v>
      </c>
      <c r="C15" s="25">
        <f ca="1">(C7+C11)+(C8+C12)*INT(MAX(F21:F3533))</f>
        <v>56231.730734009019</v>
      </c>
      <c r="D15" s="22" t="s">
        <v>38</v>
      </c>
      <c r="E15" s="23">
        <f ca="1">ROUND(2*(E14-$C$7)/$C$8,0)/2+E13</f>
        <v>18301.5</v>
      </c>
    </row>
    <row r="16" spans="1:7" s="9" customFormat="1" ht="12.95" customHeight="1" x14ac:dyDescent="0.2">
      <c r="A16" s="12" t="s">
        <v>4</v>
      </c>
      <c r="C16" s="26">
        <f ca="1">+C8+C12</f>
        <v>0.30915764041508281</v>
      </c>
      <c r="D16" s="22" t="s">
        <v>39</v>
      </c>
      <c r="E16" s="20">
        <f ca="1">ROUND(2*(E14-$C$15)/$C$16,0)/2+E13</f>
        <v>13414.5</v>
      </c>
    </row>
    <row r="17" spans="1:19" s="9" customFormat="1" ht="12.95" customHeight="1" thickBot="1" x14ac:dyDescent="0.25">
      <c r="A17" s="22" t="s">
        <v>29</v>
      </c>
      <c r="C17" s="9">
        <f>COUNT(C21:C2191)</f>
        <v>5</v>
      </c>
      <c r="D17" s="22" t="s">
        <v>33</v>
      </c>
      <c r="E17" s="27">
        <f ca="1">+$C$15+$C$16*E16-15018.5-$C$9/24</f>
        <v>45360.821734690486</v>
      </c>
    </row>
    <row r="18" spans="1:19" s="9" customFormat="1" ht="12.95" customHeight="1" thickTop="1" thickBot="1" x14ac:dyDescent="0.25">
      <c r="A18" s="12" t="s">
        <v>5</v>
      </c>
      <c r="C18" s="28">
        <f ca="1">+C15</f>
        <v>56231.730734009019</v>
      </c>
      <c r="D18" s="29">
        <f ca="1">+C16</f>
        <v>0.30915764041508281</v>
      </c>
      <c r="E18" s="30" t="s">
        <v>34</v>
      </c>
    </row>
    <row r="19" spans="1:19" s="9" customFormat="1" ht="12.95" customHeight="1" thickTop="1" x14ac:dyDescent="0.2">
      <c r="A19" s="31" t="s">
        <v>35</v>
      </c>
      <c r="E19" s="32">
        <v>21</v>
      </c>
      <c r="S19" s="9">
        <f ca="1">SQRT(SUM(S21:S50)/(COUNT(S21:S50)-1))</f>
        <v>1.771006274291657E-3</v>
      </c>
    </row>
    <row r="20" spans="1:19" s="9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33" t="str">
        <f>A21</f>
        <v>VSX</v>
      </c>
      <c r="I20" s="33" t="s">
        <v>54</v>
      </c>
      <c r="J20" s="33" t="s">
        <v>18</v>
      </c>
      <c r="K20" s="33" t="s">
        <v>25</v>
      </c>
      <c r="L20" s="33" t="s">
        <v>26</v>
      </c>
      <c r="M20" s="33" t="s">
        <v>27</v>
      </c>
      <c r="N20" s="33" t="s">
        <v>28</v>
      </c>
      <c r="O20" s="33" t="s">
        <v>23</v>
      </c>
      <c r="P20" s="34" t="s">
        <v>22</v>
      </c>
      <c r="Q20" s="19" t="s">
        <v>14</v>
      </c>
      <c r="R20" s="35" t="s">
        <v>36</v>
      </c>
    </row>
    <row r="21" spans="1:19" s="9" customFormat="1" ht="12.95" customHeight="1" x14ac:dyDescent="0.2">
      <c r="A21" s="9" t="str">
        <f>D7</f>
        <v>VSX</v>
      </c>
      <c r="C21" s="15">
        <f>C$7</f>
        <v>54720.879000000001</v>
      </c>
      <c r="D21" s="15" t="s">
        <v>13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>
        <f ca="1">+C$11+C$12*$F21</f>
        <v>-1.654699488522833E-3</v>
      </c>
      <c r="Q21" s="36">
        <f>+C21-15018.5</f>
        <v>39702.379000000001</v>
      </c>
      <c r="S21" s="9">
        <f ca="1">+(O21-G21)^2</f>
        <v>2.7380303973177254E-6</v>
      </c>
    </row>
    <row r="22" spans="1:19" s="9" customFormat="1" ht="12.95" customHeight="1" x14ac:dyDescent="0.2">
      <c r="A22" s="4" t="s">
        <v>43</v>
      </c>
      <c r="B22" s="5" t="s">
        <v>44</v>
      </c>
      <c r="C22" s="4">
        <v>55205.633900000001</v>
      </c>
      <c r="D22" s="4">
        <v>2.9999999999999997E-4</v>
      </c>
      <c r="E22" s="9">
        <f>+(C22-C$7)/C$8</f>
        <v>1567.9894034422637</v>
      </c>
      <c r="F22" s="9">
        <f>ROUND(2*E22,0)/2</f>
        <v>1568</v>
      </c>
      <c r="G22" s="9">
        <f>+C22-(C$7+F22*C$8)</f>
        <v>-3.2760000030975789E-3</v>
      </c>
      <c r="I22" s="9">
        <f>+G22</f>
        <v>-3.2760000030975789E-3</v>
      </c>
      <c r="O22" s="9">
        <f ca="1">+C$11+C$12*$F22</f>
        <v>-6.5052863869759811E-4</v>
      </c>
      <c r="Q22" s="36">
        <f>+C22-15018.5</f>
        <v>40187.133900000001</v>
      </c>
      <c r="S22" s="9">
        <f ca="1">+(O22-G22)^2</f>
        <v>6.8930998852842952E-6</v>
      </c>
    </row>
    <row r="23" spans="1:19" s="9" customFormat="1" ht="12.95" customHeight="1" x14ac:dyDescent="0.2">
      <c r="A23" s="4" t="s">
        <v>45</v>
      </c>
      <c r="B23" s="5" t="s">
        <v>46</v>
      </c>
      <c r="C23" s="4">
        <v>55498.873299999999</v>
      </c>
      <c r="D23" s="4">
        <v>5.0000000000000001E-4</v>
      </c>
      <c r="E23" s="9">
        <f>+(C23-C$7)/C$8</f>
        <v>2516.5022949504569</v>
      </c>
      <c r="F23" s="9">
        <f>ROUND(2*E23,0)/2</f>
        <v>2516.5</v>
      </c>
      <c r="G23" s="9">
        <f>+C23-(C$7+F23*C$8)</f>
        <v>7.0949999644653872E-4</v>
      </c>
      <c r="I23" s="9">
        <f>+G23</f>
        <v>7.0949999644653872E-4</v>
      </c>
      <c r="O23" s="9">
        <f ca="1">+C$11+C$12*$F23</f>
        <v>-4.3094932664922755E-5</v>
      </c>
      <c r="Q23" s="36">
        <f>+C23-15018.5</f>
        <v>40480.373299999999</v>
      </c>
      <c r="S23" s="9">
        <f ca="1">+(O23-G23)^2</f>
        <v>5.6639912732428572E-7</v>
      </c>
    </row>
    <row r="24" spans="1:19" s="9" customFormat="1" ht="12.95" customHeight="1" x14ac:dyDescent="0.2">
      <c r="A24" s="4" t="s">
        <v>47</v>
      </c>
      <c r="B24" s="5" t="s">
        <v>44</v>
      </c>
      <c r="C24" s="4">
        <v>55862.904699999999</v>
      </c>
      <c r="D24" s="4">
        <v>5.0000000000000001E-4</v>
      </c>
      <c r="E24" s="9">
        <f>+(C24-C$7)/C$8</f>
        <v>3693.9991654725536</v>
      </c>
      <c r="F24" s="9">
        <f>ROUND(2*E24,0)/2</f>
        <v>3694</v>
      </c>
      <c r="G24" s="9">
        <f>+C24-(C$7+F24*C$8)</f>
        <v>-2.5800000003073364E-4</v>
      </c>
      <c r="I24" s="9">
        <f>+G24</f>
        <v>-2.5800000003073364E-4</v>
      </c>
      <c r="O24" s="9">
        <f ca="1">+C$11+C$12*$F24</f>
        <v>7.109938273281984E-4</v>
      </c>
      <c r="Q24" s="36">
        <f>+C24-15018.5</f>
        <v>40844.404699999999</v>
      </c>
      <c r="S24" s="9">
        <f ca="1">+(O24-G24)^2</f>
        <v>9.3894903745971181E-7</v>
      </c>
    </row>
    <row r="25" spans="1:19" x14ac:dyDescent="0.2">
      <c r="A25" s="6" t="s">
        <v>48</v>
      </c>
      <c r="B25" s="7" t="s">
        <v>46</v>
      </c>
      <c r="C25" s="8">
        <v>56231.886500000001</v>
      </c>
      <c r="D25" s="8">
        <v>3.0000000000000003E-4</v>
      </c>
      <c r="E25">
        <f>+(C25-C$7)/C$8</f>
        <v>4887.5086121291115</v>
      </c>
      <c r="F25">
        <f>ROUND(2*E25,0)/2</f>
        <v>4887.5</v>
      </c>
      <c r="G25">
        <f>+C25-(C$7+F25*C$8)</f>
        <v>2.6625000027706847E-3</v>
      </c>
      <c r="I25">
        <f>+G25</f>
        <v>2.6625000027706847E-3</v>
      </c>
      <c r="O25">
        <f ca="1">+C$11+C$12*$F25</f>
        <v>1.4753292286460668E-3</v>
      </c>
      <c r="Q25" s="1">
        <f>+C25-15018.5</f>
        <v>41213.386500000001</v>
      </c>
      <c r="S25">
        <f ca="1">+(O25-G25)^2</f>
        <v>1.4093744469356445E-6</v>
      </c>
    </row>
    <row r="26" spans="1:19" x14ac:dyDescent="0.2">
      <c r="C26" s="2"/>
      <c r="D26" s="2"/>
      <c r="Q26" s="1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2024-03-09T00:49:40Z</dcterms:modified>
</cp:coreProperties>
</file>