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D4C9E8-BD70-400C-A022-D08CD8D3972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G11" i="1"/>
  <c r="F11" i="1"/>
  <c r="Q22" i="1"/>
  <c r="Q23" i="1"/>
  <c r="Q24" i="1"/>
  <c r="A21" i="1"/>
  <c r="H20" i="1"/>
  <c r="E14" i="1"/>
  <c r="E15" i="1" s="1"/>
  <c r="C17" i="1"/>
  <c r="Q21" i="1"/>
  <c r="C12" i="1"/>
  <c r="C11" i="1"/>
  <c r="O22" i="1" l="1"/>
  <c r="S22" i="1" s="1"/>
  <c r="C15" i="1"/>
  <c r="E16" i="1" s="1"/>
  <c r="O24" i="1"/>
  <c r="S24" i="1" s="1"/>
  <c r="O21" i="1"/>
  <c r="S21" i="1" s="1"/>
  <c r="O23" i="1"/>
  <c r="S23" i="1" s="1"/>
  <c r="C16" i="1"/>
  <c r="D18" i="1" s="1"/>
  <c r="S19" i="1" l="1"/>
  <c r="C18" i="1"/>
  <c r="E17" i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<sst xmlns="http://schemas.openxmlformats.org/spreadsheetml/2006/main" count="58" uniqueCount="53">
  <si>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</si>
  <si>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</si>
  <si>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</si>
  <si>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</si>
  <si>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</si>
  <si>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</si>
  <si>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</si>
  <si>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</si>
  <si>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</si>
  <si>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</si>
  <si>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</si>
  <si>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</si>
  <si>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</si>
  <si>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</si>
  <si>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</si>
  <si>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</si>
  <si>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</si>
  <si>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</si>
  <si>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</si>
  <si>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</si>
  <si>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</si>
  <si>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</si>
  <si>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</si>
  <si>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</si>
  <si>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</si>
  <si>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</si>
  <si>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</si>
  <si>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</si>
  <si>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</si>
  <si>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</si>
  <si>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</si>
  <si>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</si>
  <si>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</si>
  <si>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</si>
  <si>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</si>
  <si>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</si>
  <si>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</si>
  <si>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</si>
  <si>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</si>
  <si>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</si>
  <si>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</si>
  <si>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</si>
  <si>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G1235-0663</t>
  </si>
  <si>
    <t>IBVS 5992</t>
  </si>
  <si>
    <t>I</t>
  </si>
  <si>
    <t>IBVS 6011</t>
  </si>
  <si>
    <t>IBVS 6042</t>
  </si>
  <si>
    <t>G1235-0663_Tau.xls</t>
  </si>
  <si>
    <t>ED</t>
  </si>
  <si>
    <t>Tau</t>
  </si>
  <si>
    <t>VSX</t>
  </si>
  <si>
    <t>V1418 Tau / GSC 1235-0663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</si>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</sst>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V1418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74-4B8A-8593-241D93A933E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1.7799999986891635E-3</c:v>
                </c:pt>
                <c:pt idx="2">
                  <c:v>9.59999997576233E-4</c:v>
                </c:pt>
                <c:pt idx="3">
                  <c:v>-2.6600000055623241E-3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74-4B8A-8593-241D93A933E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74-4B8A-8593-241D93A933E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74-4B8A-8593-241D93A933E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74-4B8A-8593-241D93A933E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74-4B8A-8593-241D93A933E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74-4B8A-8593-241D93A933E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1.3736290194499573E-2</c:v>
                </c:pt>
                <c:pt idx="1">
                  <c:v>2.2512769956248586E-3</c:v>
                </c:pt>
                <c:pt idx="2">
                  <c:v>2.4611330573000301E-7</c:v>
                </c:pt>
                <c:pt idx="3">
                  <c:v>-2.1715231182275144E-3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74-4B8A-8593-241D93A933E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</c:v>
                </c:pt>
                <c:pt idx="2">
                  <c:v>1733</c:v>
                </c:pt>
                <c:pt idx="3">
                  <c:v>2007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674-4B8A-8593-241D93A93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806520"/>
        <c:axId val="1"/>
      </c:scatterChart>
      <c:valAx>
        <c:axId val="565806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806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848A39-486F-4B71-C4B8-9F23E2C15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6" t="s">
        <v>51</v>
      </c>
      <c r="E1" s="5" t="s">
        <v>47</v>
      </c>
    </row>
    <row r="2" spans="1:7" s="5" customFormat="1" ht="12.95" customHeight="1" x14ac:dyDescent="0.2">
      <c r="A2" s="5" t="s">
        <v>24</v>
      </c>
      <c r="B2" s="5" t="s">
        <v>48</v>
      </c>
      <c r="C2" s="6" t="s">
        <v>41</v>
      </c>
      <c r="D2" s="7" t="s">
        <v>49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7">
        <v>53675.804000000004</v>
      </c>
      <c r="D7" s="12" t="s">
        <v>50</v>
      </c>
    </row>
    <row r="8" spans="1:7" s="5" customFormat="1" ht="12.95" customHeight="1" x14ac:dyDescent="0.2">
      <c r="A8" s="5" t="s">
        <v>3</v>
      </c>
      <c r="C8" s="37">
        <v>1.30288</v>
      </c>
      <c r="D8" s="12" t="s">
        <v>50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INTERCEPT(INDIRECT($G$11):G992,INDIRECT($F$11):F992)</f>
        <v>1.3736290194499573E-2</v>
      </c>
      <c r="D11" s="7"/>
      <c r="F11" s="17" t="str">
        <f>"F"&amp;E19</f>
        <v>F22</v>
      </c>
      <c r="G11" s="16" t="str">
        <f>"G"&amp;E19</f>
        <v>G22</v>
      </c>
    </row>
    <row r="12" spans="1:7" s="5" customFormat="1" ht="12.95" customHeight="1" x14ac:dyDescent="0.2">
      <c r="A12" s="5" t="s">
        <v>16</v>
      </c>
      <c r="C12" s="16">
        <f ca="1">SLOPE(INDIRECT($G$11):G992,INDIRECT($F$11):F992)</f>
        <v>-7.9261650785884839E-6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60378.587707291663</v>
      </c>
    </row>
    <row r="15" spans="1:7" s="5" customFormat="1" ht="12.95" customHeight="1" x14ac:dyDescent="0.2">
      <c r="A15" s="20" t="s">
        <v>17</v>
      </c>
      <c r="C15" s="21">
        <f ca="1">(C7+C11)+(C8+C12)*INT(MAX(F21:F3533))</f>
        <v>56290.681988476885</v>
      </c>
      <c r="D15" s="18" t="s">
        <v>38</v>
      </c>
      <c r="E15" s="19">
        <f ca="1">ROUND(2*(E14-$C$7)/$C$8,0)/2+E13</f>
        <v>5145.5</v>
      </c>
    </row>
    <row r="16" spans="1:7" s="5" customFormat="1" ht="12.95" customHeight="1" x14ac:dyDescent="0.2">
      <c r="A16" s="8" t="s">
        <v>4</v>
      </c>
      <c r="C16" s="22">
        <f ca="1">+C8+C12</f>
        <v>1.3028720738349215</v>
      </c>
      <c r="D16" s="18" t="s">
        <v>39</v>
      </c>
      <c r="E16" s="16">
        <f ca="1">ROUND(2*(E14-$C$15)/$C$16,0)/2+E13</f>
        <v>3138.5</v>
      </c>
    </row>
    <row r="17" spans="1:19" s="5" customFormat="1" ht="12.95" customHeight="1" thickBot="1" x14ac:dyDescent="0.25">
      <c r="A17" s="18" t="s">
        <v>29</v>
      </c>
      <c r="C17" s="5">
        <f>COUNT(C21:C2191)</f>
        <v>4</v>
      </c>
      <c r="D17" s="18" t="s">
        <v>33</v>
      </c>
      <c r="E17" s="23">
        <f ca="1">+$C$15+$C$16*E16-15018.5-$C$9/24</f>
        <v>45361.641825541119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56290.681988476885</v>
      </c>
      <c r="D18" s="25">
        <f ca="1">+C16</f>
        <v>1.3028720738349215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22</v>
      </c>
      <c r="S19" s="5">
        <f ca="1">SQRT(SUM(S21:S50)/(COUNT(S21:S50)-1))</f>
        <v>7.9596379210610333E-3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VSX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5" t="str">
        <f>D7</f>
        <v>VSX</v>
      </c>
      <c r="C21" s="11">
        <f>C$7</f>
        <v>53675.804000000004</v>
      </c>
      <c r="D21" s="11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1.3736290194499573E-2</v>
      </c>
      <c r="Q21" s="32">
        <f>+C21-15018.5</f>
        <v>38657.304000000004</v>
      </c>
      <c r="S21" s="5">
        <f ca="1">+(O21-G21)^2</f>
        <v>1.8868566830750511E-4</v>
      </c>
    </row>
    <row r="22" spans="1:19" s="5" customFormat="1" ht="12.95" customHeight="1" x14ac:dyDescent="0.2">
      <c r="A22" s="3" t="s">
        <v>43</v>
      </c>
      <c r="B22" s="4" t="s">
        <v>44</v>
      </c>
      <c r="C22" s="3">
        <v>55563.678899999999</v>
      </c>
      <c r="D22" s="3">
        <v>2.0000000000000001E-4</v>
      </c>
      <c r="E22" s="5">
        <f>+(C22-C$7)/C$8</f>
        <v>1449.0013662040981</v>
      </c>
      <c r="F22" s="5">
        <f>ROUND(2*E22,0)/2</f>
        <v>1449</v>
      </c>
      <c r="G22" s="5">
        <f>+C22-(C$7+F22*C$8)</f>
        <v>1.7799999986891635E-3</v>
      </c>
      <c r="I22" s="5">
        <f>+G22</f>
        <v>1.7799999986891635E-3</v>
      </c>
      <c r="O22" s="5">
        <f ca="1">+C$11+C$12*$F22</f>
        <v>2.2512769956248586E-3</v>
      </c>
      <c r="Q22" s="32">
        <f>+C22-15018.5</f>
        <v>40545.178899999999</v>
      </c>
      <c r="S22" s="5">
        <f ca="1">+(O22-G22)^2</f>
        <v>2.2210200784072717E-7</v>
      </c>
    </row>
    <row r="23" spans="1:19" s="5" customFormat="1" ht="12.95" customHeight="1" x14ac:dyDescent="0.2">
      <c r="A23" s="3" t="s">
        <v>45</v>
      </c>
      <c r="B23" s="4" t="s">
        <v>44</v>
      </c>
      <c r="C23" s="3">
        <v>55933.696000000004</v>
      </c>
      <c r="D23" s="3">
        <v>2.9999999999999997E-4</v>
      </c>
      <c r="E23" s="5">
        <f>+(C23-C$7)/C$8</f>
        <v>1733.0007368291783</v>
      </c>
      <c r="F23" s="5">
        <f>ROUND(2*E23,0)/2</f>
        <v>1733</v>
      </c>
      <c r="G23" s="5">
        <f>+C23-(C$7+F23*C$8)</f>
        <v>9.59999997576233E-4</v>
      </c>
      <c r="I23" s="5">
        <f>+G23</f>
        <v>9.59999997576233E-4</v>
      </c>
      <c r="O23" s="5">
        <f ca="1">+C$11+C$12*$F23</f>
        <v>2.4611330573000301E-7</v>
      </c>
      <c r="Q23" s="32">
        <f>+C23-15018.5</f>
        <v>40915.196000000004</v>
      </c>
      <c r="S23" s="5">
        <f ca="1">+(O23-G23)^2</f>
        <v>9.2112751837231803E-7</v>
      </c>
    </row>
    <row r="24" spans="1:19" s="5" customFormat="1" ht="12.95" customHeight="1" x14ac:dyDescent="0.2">
      <c r="A24" s="33" t="s">
        <v>46</v>
      </c>
      <c r="B24" s="34" t="s">
        <v>44</v>
      </c>
      <c r="C24" s="35">
        <v>56290.681499999999</v>
      </c>
      <c r="D24" s="35">
        <v>4.0000000000000002E-4</v>
      </c>
      <c r="E24" s="5">
        <f>+(C24-C$7)/C$8</f>
        <v>2006.9979583691475</v>
      </c>
      <c r="F24" s="5">
        <f>ROUND(2*E24,0)/2</f>
        <v>2007</v>
      </c>
      <c r="G24" s="5">
        <f>+C24-(C$7+F24*C$8)</f>
        <v>-2.6600000055623241E-3</v>
      </c>
      <c r="I24" s="5">
        <f>+G24</f>
        <v>-2.6600000055623241E-3</v>
      </c>
      <c r="O24" s="5">
        <f ca="1">+C$11+C$12*$F24</f>
        <v>-2.1715231182275144E-3</v>
      </c>
      <c r="Q24" s="32">
        <f>+C24-15018.5</f>
        <v>41272.181499999999</v>
      </c>
      <c r="S24" s="5">
        <f ca="1">+(O24-G24)^2</f>
        <v>2.3860966946030429E-7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17" s="5" customFormat="1" ht="12.95" customHeight="1" x14ac:dyDescent="0.2">
      <c r="C33" s="11"/>
      <c r="D33" s="11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2024-03-09T01:06:17Z</dcterms:modified>
</cp:coreProperties>
</file>