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EC48DFAB-DE9E-4448-AE82-B13DC3389E4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32" i="1" l="1"/>
  <c r="F32" i="1" s="1"/>
  <c r="G32" i="1" s="1"/>
  <c r="K32" i="1" s="1"/>
  <c r="Q32" i="1"/>
  <c r="F4" i="1"/>
  <c r="G4" i="1"/>
  <c r="F11" i="1"/>
  <c r="G11" i="1"/>
  <c r="E14" i="1"/>
  <c r="E15" i="1" s="1"/>
  <c r="C17" i="1"/>
  <c r="E21" i="1"/>
  <c r="F21" i="1"/>
  <c r="G21" i="1"/>
  <c r="H21" i="1"/>
  <c r="Q21" i="1"/>
  <c r="E22" i="1"/>
  <c r="F22" i="1"/>
  <c r="G22" i="1"/>
  <c r="K22" i="1"/>
  <c r="Q22" i="1"/>
  <c r="E23" i="1"/>
  <c r="F23" i="1"/>
  <c r="G23" i="1"/>
  <c r="K23" i="1"/>
  <c r="Q23" i="1"/>
  <c r="E24" i="1"/>
  <c r="F24" i="1"/>
  <c r="G24" i="1"/>
  <c r="J24" i="1"/>
  <c r="Q24" i="1"/>
  <c r="E25" i="1"/>
  <c r="F25" i="1"/>
  <c r="G25" i="1"/>
  <c r="K25" i="1"/>
  <c r="Q25" i="1"/>
  <c r="E26" i="1"/>
  <c r="F26" i="1"/>
  <c r="G26" i="1"/>
  <c r="K26" i="1"/>
  <c r="Q26" i="1"/>
  <c r="E27" i="1"/>
  <c r="F27" i="1"/>
  <c r="G27" i="1"/>
  <c r="K27" i="1"/>
  <c r="Q27" i="1"/>
  <c r="E28" i="1"/>
  <c r="F28" i="1"/>
  <c r="G28" i="1"/>
  <c r="K28" i="1"/>
  <c r="Q28" i="1"/>
  <c r="E29" i="1"/>
  <c r="F29" i="1"/>
  <c r="U29" i="1"/>
  <c r="Q29" i="1"/>
  <c r="E31" i="1"/>
  <c r="F31" i="1"/>
  <c r="G31" i="1"/>
  <c r="K31" i="1"/>
  <c r="Q31" i="1"/>
  <c r="E30" i="1"/>
  <c r="F30" i="1"/>
  <c r="G30" i="1"/>
  <c r="K30" i="1"/>
  <c r="Q30" i="1"/>
  <c r="A11" i="2"/>
  <c r="D11" i="2"/>
  <c r="G11" i="2"/>
  <c r="C11" i="2"/>
  <c r="E11" i="2"/>
  <c r="H11" i="2"/>
  <c r="B11" i="2"/>
  <c r="A12" i="2"/>
  <c r="D12" i="2"/>
  <c r="G12" i="2"/>
  <c r="C12" i="2"/>
  <c r="E12" i="2"/>
  <c r="H12" i="2"/>
  <c r="B12" i="2"/>
  <c r="A13" i="2"/>
  <c r="D13" i="2"/>
  <c r="G13" i="2"/>
  <c r="C13" i="2"/>
  <c r="E13" i="2"/>
  <c r="H13" i="2"/>
  <c r="B13" i="2"/>
  <c r="A14" i="2"/>
  <c r="D14" i="2"/>
  <c r="G14" i="2"/>
  <c r="C14" i="2"/>
  <c r="E14" i="2"/>
  <c r="H14" i="2"/>
  <c r="B14" i="2"/>
  <c r="A15" i="2"/>
  <c r="D15" i="2"/>
  <c r="G15" i="2"/>
  <c r="C15" i="2"/>
  <c r="E15" i="2"/>
  <c r="H15" i="2"/>
  <c r="B15" i="2"/>
  <c r="A16" i="2"/>
  <c r="D16" i="2"/>
  <c r="G16" i="2"/>
  <c r="C16" i="2"/>
  <c r="E16" i="2"/>
  <c r="H16" i="2"/>
  <c r="B16" i="2"/>
  <c r="A17" i="2"/>
  <c r="D17" i="2"/>
  <c r="G17" i="2"/>
  <c r="C17" i="2"/>
  <c r="E17" i="2"/>
  <c r="H17" i="2"/>
  <c r="B17" i="2"/>
  <c r="C12" i="1"/>
  <c r="C16" i="1" l="1"/>
  <c r="D18" i="1" s="1"/>
  <c r="C11" i="1"/>
  <c r="O32" i="1" l="1"/>
  <c r="O23" i="1"/>
  <c r="O27" i="1"/>
  <c r="O31" i="1"/>
  <c r="O29" i="1"/>
  <c r="O30" i="1"/>
  <c r="O25" i="1"/>
  <c r="O26" i="1"/>
  <c r="O24" i="1"/>
  <c r="O21" i="1"/>
  <c r="O28" i="1"/>
  <c r="O22" i="1"/>
  <c r="C15" i="1"/>
  <c r="E16" i="1" s="1"/>
  <c r="E17" i="1" s="1"/>
  <c r="C18" i="1" l="1"/>
</calcChain>
</file>

<file path=xl/sharedStrings.xml><?xml version="1.0" encoding="utf-8"?>
<sst xmlns="http://schemas.openxmlformats.org/spreadsheetml/2006/main" count="146" uniqueCount="105">
  <si>
    <t>AK Tri / GSC 2327-1518</t>
  </si>
  <si>
    <t xml:space="preserve">EW        </t>
  </si>
  <si>
    <t>Pribulla 2003</t>
  </si>
  <si>
    <t>not avail.</t>
  </si>
  <si>
    <t>System Type:</t>
  </si>
  <si>
    <t>GCVS 4 Eph.</t>
  </si>
  <si>
    <t>as of 2020-12-16</t>
  </si>
  <si>
    <t>--- Working ----</t>
  </si>
  <si>
    <t>Epoch =</t>
  </si>
  <si>
    <t>Period =</t>
  </si>
  <si>
    <t>My time zone &gt;&gt;&gt;&gt;&gt;</t>
  </si>
  <si>
    <t>(PST=8, PDT=MDT=7, MDT=CST=6, etc.)</t>
  </si>
  <si>
    <t>Linear</t>
  </si>
  <si>
    <t>Quadratic</t>
  </si>
  <si>
    <t>LS Intercept =</t>
  </si>
  <si>
    <t>LS Slope =</t>
  </si>
  <si>
    <t>LS Quadr term =</t>
  </si>
  <si>
    <t>na</t>
  </si>
  <si>
    <t>Add cycle</t>
  </si>
  <si>
    <t>JD today</t>
  </si>
  <si>
    <t>New epoch =</t>
  </si>
  <si>
    <t>Old Cycle</t>
  </si>
  <si>
    <t>New Period =</t>
  </si>
  <si>
    <t>New Cycle</t>
  </si>
  <si>
    <t># of data points:</t>
  </si>
  <si>
    <t>Next ToM</t>
  </si>
  <si>
    <t>New Ephemeris =</t>
  </si>
  <si>
    <t>Local time</t>
  </si>
  <si>
    <t>Start of linear fit &gt;&gt;&gt;&gt;&gt;&gt;&gt;&gt;&gt;&gt;&gt;&gt;&gt;&gt;&gt;&gt;&gt;&gt;&gt;&gt;&gt;</t>
  </si>
  <si>
    <t>Source</t>
  </si>
  <si>
    <t>Typ</t>
  </si>
  <si>
    <t>ToM</t>
  </si>
  <si>
    <t>error</t>
  </si>
  <si>
    <t>n'</t>
  </si>
  <si>
    <t>n</t>
  </si>
  <si>
    <t>O-C</t>
  </si>
  <si>
    <t>pg</t>
  </si>
  <si>
    <t>vis</t>
  </si>
  <si>
    <t>PE</t>
  </si>
  <si>
    <t>CCD</t>
  </si>
  <si>
    <t>S5</t>
  </si>
  <si>
    <t>S6</t>
  </si>
  <si>
    <t>Misc</t>
  </si>
  <si>
    <t>Lin Fit</t>
  </si>
  <si>
    <t>Q. Fit</t>
  </si>
  <si>
    <t>Date</t>
  </si>
  <si>
    <t>BAD?</t>
  </si>
  <si>
    <t>IBVS 5494</t>
  </si>
  <si>
    <t>II</t>
  </si>
  <si>
    <t>I</t>
  </si>
  <si>
    <t>IBVS 5657</t>
  </si>
  <si>
    <t>OEJV 0137</t>
  </si>
  <si>
    <t>IBVS 5960</t>
  </si>
  <si>
    <t>IBVS 6011</t>
  </si>
  <si>
    <t>OEJV 0160</t>
  </si>
  <si>
    <t>RHN 2020</t>
  </si>
  <si>
    <t>OEJV 0211</t>
  </si>
  <si>
    <t>Minima from the Lichtenknecker Database of the BAV</t>
  </si>
  <si>
    <t>C</t>
  </si>
  <si>
    <t>E</t>
  </si>
  <si>
    <t>http://www.bav-astro.de/LkDB/index.php?lang=en&amp;sprache_dial=en</t>
  </si>
  <si>
    <t>F</t>
  </si>
  <si>
    <t>P</t>
  </si>
  <si>
    <t>V</t>
  </si>
  <si>
    <t>2452942.2337 </t>
  </si>
  <si>
    <t> 29.10.2003 17:36 </t>
  </si>
  <si>
    <t> -0.0025 </t>
  </si>
  <si>
    <t>E </t>
  </si>
  <si>
    <t>?</t>
  </si>
  <si>
    <t> Maciejewski et al. </t>
  </si>
  <si>
    <t>IBVS 5494 </t>
  </si>
  <si>
    <t>2452942.5876 </t>
  </si>
  <si>
    <t> 30.10.2003 02:06 </t>
  </si>
  <si>
    <t> 0.0006 </t>
  </si>
  <si>
    <t>2453335.5457 </t>
  </si>
  <si>
    <t> 26.11.2004 01:05 </t>
  </si>
  <si>
    <t> -0.0014 </t>
  </si>
  <si>
    <t>-I</t>
  </si>
  <si>
    <t> K. &amp; M. Rätz </t>
  </si>
  <si>
    <t>BAVM 173 </t>
  </si>
  <si>
    <t>2455478.9344 </t>
  </si>
  <si>
    <t> 09.10.2010 10:25 </t>
  </si>
  <si>
    <t>4244.5</t>
  </si>
  <si>
    <t> 0.0004 </t>
  </si>
  <si>
    <t>C </t>
  </si>
  <si>
    <t> R.Diethelm </t>
  </si>
  <si>
    <t>IBVS 5960 </t>
  </si>
  <si>
    <t>2455844.8792 </t>
  </si>
  <si>
    <t> 10.10.2011 09:06 </t>
  </si>
  <si>
    <t>4766</t>
  </si>
  <si>
    <t> 0.0011 </t>
  </si>
  <si>
    <t>IBVS 6011 </t>
  </si>
  <si>
    <t>2455926.27774 </t>
  </si>
  <si>
    <t> 30.12.2011 18:39 </t>
  </si>
  <si>
    <t>4882</t>
  </si>
  <si>
    <t> 0.00075 </t>
  </si>
  <si>
    <t> T.Wikander </t>
  </si>
  <si>
    <t>OEJV 0160 </t>
  </si>
  <si>
    <t>2455423.5019 </t>
  </si>
  <si>
    <t> 15.08.2010 00:02 </t>
  </si>
  <si>
    <t>4165.5</t>
  </si>
  <si>
    <t> 0.0033 </t>
  </si>
  <si>
    <t> M.Vraš?ák </t>
  </si>
  <si>
    <t>OEJV 0137 </t>
  </si>
  <si>
    <t>JBAV, 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</si>
</sst>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\$#,##0_);&quot;($&quot;#,##0\)"/>
    <numFmt numFmtId="165" formatCode="m/d/yyyy\ h:mm"/>
    <numFmt numFmtId="166" formatCode="d/mm/yyyy;@"/>
    <numFmt numFmtId="167" formatCode="0.00000"/>
  </numFmts>
  <fonts count="14" x14ac:knownFonts="1">
    <font>
      <sz val="10"/>
      <name val="Arial"/>
      <family val="2"/>
    </font>
    <font>
      <sz val="16"/>
      <name val="Arial"/>
      <family val="2"/>
    </font>
    <font>
      <sz val="10"/>
      <color indexed="8"/>
      <name val="Arial"/>
      <family val="2"/>
    </font>
    <font>
      <b/>
      <sz val="10"/>
      <color indexed="20"/>
      <name val="Arial"/>
      <family val="2"/>
    </font>
    <font>
      <i/>
      <sz val="10"/>
      <color indexed="20"/>
      <name val="Arial"/>
      <family val="2"/>
    </font>
    <font>
      <sz val="10"/>
      <color indexed="10"/>
      <name val="Arial"/>
      <family val="2"/>
    </font>
    <font>
      <b/>
      <sz val="10"/>
      <name val="Arial"/>
      <family val="2"/>
    </font>
    <font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17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  <fill>
      <patternFill patternType="solid">
        <fgColor indexed="13"/>
        <bgColor indexed="34"/>
      </patternFill>
    </fill>
    <fill>
      <patternFill patternType="solid">
        <fgColor indexed="9"/>
        <bgColor indexed="26"/>
      </patternFill>
    </fill>
  </fills>
  <borders count="1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7">
    <xf numFmtId="0" fontId="0" fillId="0" borderId="0">
      <alignment vertical="top"/>
    </xf>
    <xf numFmtId="3" fontId="12" fillId="0" borderId="0" applyFill="0" applyBorder="0" applyProtection="0">
      <alignment vertical="top"/>
    </xf>
    <xf numFmtId="164" fontId="12" fillId="0" borderId="0" applyFill="0" applyBorder="0" applyProtection="0">
      <alignment vertical="top"/>
    </xf>
    <xf numFmtId="0" fontId="12" fillId="0" borderId="0" applyFill="0" applyBorder="0" applyProtection="0">
      <alignment vertical="top"/>
    </xf>
    <xf numFmtId="2" fontId="12" fillId="0" borderId="0" applyFill="0" applyBorder="0" applyProtection="0">
      <alignment vertical="top"/>
    </xf>
    <xf numFmtId="0" fontId="11" fillId="0" borderId="0" applyNumberFormat="0" applyFill="0" applyBorder="0" applyProtection="0">
      <alignment vertical="top"/>
    </xf>
    <xf numFmtId="0" fontId="12" fillId="0" borderId="0"/>
  </cellStyleXfs>
  <cellXfs count="58">
    <xf numFmtId="0" fontId="0" fillId="0" borderId="0" xfId="0">
      <alignment vertical="top"/>
    </xf>
    <xf numFmtId="0" fontId="0" fillId="0" borderId="0" xfId="0" applyAlignment="1"/>
    <xf numFmtId="0" fontId="2" fillId="0" borderId="1" xfId="0" applyFont="1" applyBorder="1" applyAlignment="1">
      <alignment vertical="center"/>
    </xf>
    <xf numFmtId="0" fontId="0" fillId="0" borderId="0" xfId="0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10" fillId="0" borderId="0" xfId="0" applyFont="1" applyAlignment="1">
      <alignment horizontal="left"/>
    </xf>
    <xf numFmtId="0" fontId="0" fillId="0" borderId="6" xfId="0" applyBorder="1" applyAlignment="1">
      <alignment horizontal="center"/>
    </xf>
    <xf numFmtId="0" fontId="0" fillId="0" borderId="7" xfId="0" applyBorder="1">
      <alignment vertical="top"/>
    </xf>
    <xf numFmtId="0" fontId="0" fillId="0" borderId="8" xfId="0" applyBorder="1" applyAlignment="1">
      <alignment horizontal="center"/>
    </xf>
    <xf numFmtId="0" fontId="0" fillId="0" borderId="9" xfId="0" applyBorder="1">
      <alignment vertical="top"/>
    </xf>
    <xf numFmtId="0" fontId="11" fillId="0" borderId="0" xfId="5" applyNumberFormat="1" applyFill="1" applyBorder="1" applyAlignment="1" applyProtection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>
      <alignment vertical="top"/>
    </xf>
    <xf numFmtId="0" fontId="2" fillId="4" borderId="12" xfId="0" applyFont="1" applyFill="1" applyBorder="1" applyAlignment="1">
      <alignment horizontal="left" vertical="top" wrapText="1" indent="1"/>
    </xf>
    <xf numFmtId="0" fontId="2" fillId="4" borderId="12" xfId="0" applyFont="1" applyFill="1" applyBorder="1" applyAlignment="1">
      <alignment horizontal="center" vertical="top" wrapText="1"/>
    </xf>
    <xf numFmtId="0" fontId="2" fillId="4" borderId="12" xfId="0" applyFont="1" applyFill="1" applyBorder="1" applyAlignment="1">
      <alignment horizontal="right" vertical="top" wrapText="1"/>
    </xf>
    <xf numFmtId="0" fontId="11" fillId="4" borderId="12" xfId="5" applyNumberFormat="1" applyFill="1" applyBorder="1" applyAlignment="1" applyProtection="1">
      <alignment horizontal="right" vertical="top" wrapText="1"/>
    </xf>
    <xf numFmtId="0" fontId="13" fillId="0" borderId="0" xfId="0" applyFont="1" applyAlignment="1">
      <alignment vertical="center" wrapText="1"/>
    </xf>
    <xf numFmtId="0" fontId="13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165" fontId="5" fillId="0" borderId="0" xfId="0" applyNumberFormat="1" applyFont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5" fillId="0" borderId="0" xfId="0" applyFont="1" applyAlignment="1">
      <alignment horizontal="right" vertical="center"/>
    </xf>
    <xf numFmtId="0" fontId="8" fillId="0" borderId="0" xfId="0" applyFont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166" fontId="0" fillId="0" borderId="0" xfId="0" applyNumberFormat="1" applyAlignment="1">
      <alignment vertical="center"/>
    </xf>
    <xf numFmtId="0" fontId="2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0" xfId="6" applyFont="1" applyAlignment="1">
      <alignment vertical="center"/>
    </xf>
    <xf numFmtId="0" fontId="9" fillId="0" borderId="0" xfId="6" applyFont="1" applyAlignment="1">
      <alignment horizontal="center" vertical="center"/>
    </xf>
    <xf numFmtId="0" fontId="9" fillId="0" borderId="0" xfId="6" applyFont="1" applyAlignment="1">
      <alignment horizontal="left" vertical="center"/>
    </xf>
    <xf numFmtId="0" fontId="0" fillId="3" borderId="0" xfId="0" applyFill="1" applyAlignment="1">
      <alignment vertical="center"/>
    </xf>
    <xf numFmtId="0" fontId="1" fillId="0" borderId="0" xfId="0" applyFont="1" applyAlignment="1">
      <alignment vertical="center"/>
    </xf>
    <xf numFmtId="0" fontId="0" fillId="0" borderId="1" xfId="0" applyBorder="1" applyAlignment="1">
      <alignment vertical="center"/>
    </xf>
    <xf numFmtId="0" fontId="0" fillId="2" borderId="1" xfId="0" applyFill="1" applyBorder="1" applyAlignment="1">
      <alignment horizontal="left" vertical="center"/>
    </xf>
    <xf numFmtId="167" fontId="13" fillId="0" borderId="0" xfId="0" applyNumberFormat="1" applyFont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</cellXfs>
  <cellStyles count="7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yperlink" xfId="5" builtinId="8"/>
    <cellStyle name="Normal" xfId="0" builtinId="0"/>
    <cellStyle name="Normal_A" xfId="6" xr:uid="{00000000-0005-0000-0000-000006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69FF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AK Tri -- O-C Diagr.</a:t>
            </a:r>
          </a:p>
        </c:rich>
      </c:tx>
      <c:layout>
        <c:manualLayout>
          <c:xMode val="edge"/>
          <c:yMode val="edge"/>
          <c:x val="0.38484429416605243"/>
          <c:y val="3.303303303303303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611209260060917"/>
          <c:y val="0.14118647631954018"/>
          <c:w val="0.8063403961577611"/>
          <c:h val="0.64259974921532437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Active!$F$21:$F$500</c:f>
              <c:numCache>
                <c:formatCode>General</c:formatCode>
                <c:ptCount val="480"/>
                <c:pt idx="0">
                  <c:v>0</c:v>
                </c:pt>
                <c:pt idx="1">
                  <c:v>3599.5</c:v>
                </c:pt>
                <c:pt idx="2">
                  <c:v>3600</c:v>
                </c:pt>
                <c:pt idx="3">
                  <c:v>4160</c:v>
                </c:pt>
                <c:pt idx="4">
                  <c:v>7135.5</c:v>
                </c:pt>
                <c:pt idx="5">
                  <c:v>7214.5</c:v>
                </c:pt>
                <c:pt idx="6">
                  <c:v>7736</c:v>
                </c:pt>
                <c:pt idx="7">
                  <c:v>7852</c:v>
                </c:pt>
                <c:pt idx="8">
                  <c:v>8146</c:v>
                </c:pt>
                <c:pt idx="9">
                  <c:v>10846</c:v>
                </c:pt>
                <c:pt idx="10">
                  <c:v>12517</c:v>
                </c:pt>
                <c:pt idx="11">
                  <c:v>12951</c:v>
                </c:pt>
              </c:numCache>
            </c:numRef>
          </c:xVal>
          <c:yVal>
            <c:numRef>
              <c:f>Active!$H$21:$H$500</c:f>
              <c:numCache>
                <c:formatCode>General</c:formatCode>
                <c:ptCount val="480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D35-4EEC-94E6-43AC7232544D}"/>
            </c:ext>
          </c:extLst>
        </c:ser>
        <c:ser>
          <c:idx val="1"/>
          <c:order val="1"/>
          <c:tx>
            <c:strRef>
              <c:f>Active!$I$20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Active!$F$21:$F$500</c:f>
              <c:numCache>
                <c:formatCode>General</c:formatCode>
                <c:ptCount val="480"/>
                <c:pt idx="0">
                  <c:v>0</c:v>
                </c:pt>
                <c:pt idx="1">
                  <c:v>3599.5</c:v>
                </c:pt>
                <c:pt idx="2">
                  <c:v>3600</c:v>
                </c:pt>
                <c:pt idx="3">
                  <c:v>4160</c:v>
                </c:pt>
                <c:pt idx="4">
                  <c:v>7135.5</c:v>
                </c:pt>
                <c:pt idx="5">
                  <c:v>7214.5</c:v>
                </c:pt>
                <c:pt idx="6">
                  <c:v>7736</c:v>
                </c:pt>
                <c:pt idx="7">
                  <c:v>7852</c:v>
                </c:pt>
                <c:pt idx="8">
                  <c:v>8146</c:v>
                </c:pt>
                <c:pt idx="9">
                  <c:v>10846</c:v>
                </c:pt>
                <c:pt idx="10">
                  <c:v>12517</c:v>
                </c:pt>
                <c:pt idx="11">
                  <c:v>12951</c:v>
                </c:pt>
              </c:numCache>
            </c:numRef>
          </c:xVal>
          <c:yVal>
            <c:numRef>
              <c:f>Active!$I$21:$I$500</c:f>
              <c:numCache>
                <c:formatCode>General</c:formatCode>
                <c:ptCount val="48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D35-4EEC-94E6-43AC7232544D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Active!$F$21:$F$500</c:f>
              <c:numCache>
                <c:formatCode>General</c:formatCode>
                <c:ptCount val="480"/>
                <c:pt idx="0">
                  <c:v>0</c:v>
                </c:pt>
                <c:pt idx="1">
                  <c:v>3599.5</c:v>
                </c:pt>
                <c:pt idx="2">
                  <c:v>3600</c:v>
                </c:pt>
                <c:pt idx="3">
                  <c:v>4160</c:v>
                </c:pt>
                <c:pt idx="4">
                  <c:v>7135.5</c:v>
                </c:pt>
                <c:pt idx="5">
                  <c:v>7214.5</c:v>
                </c:pt>
                <c:pt idx="6">
                  <c:v>7736</c:v>
                </c:pt>
                <c:pt idx="7">
                  <c:v>7852</c:v>
                </c:pt>
                <c:pt idx="8">
                  <c:v>8146</c:v>
                </c:pt>
                <c:pt idx="9">
                  <c:v>10846</c:v>
                </c:pt>
                <c:pt idx="10">
                  <c:v>12517</c:v>
                </c:pt>
                <c:pt idx="11">
                  <c:v>12951</c:v>
                </c:pt>
              </c:numCache>
            </c:numRef>
          </c:xVal>
          <c:yVal>
            <c:numRef>
              <c:f>Active!$J$21:$J$500</c:f>
              <c:numCache>
                <c:formatCode>General</c:formatCode>
                <c:ptCount val="480"/>
                <c:pt idx="3">
                  <c:v>5.7400000005145557E-2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D35-4EEC-94E6-43AC7232544D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Active!$F$21:$F$500</c:f>
              <c:numCache>
                <c:formatCode>General</c:formatCode>
                <c:ptCount val="480"/>
                <c:pt idx="0">
                  <c:v>0</c:v>
                </c:pt>
                <c:pt idx="1">
                  <c:v>3599.5</c:v>
                </c:pt>
                <c:pt idx="2">
                  <c:v>3600</c:v>
                </c:pt>
                <c:pt idx="3">
                  <c:v>4160</c:v>
                </c:pt>
                <c:pt idx="4">
                  <c:v>7135.5</c:v>
                </c:pt>
                <c:pt idx="5">
                  <c:v>7214.5</c:v>
                </c:pt>
                <c:pt idx="6">
                  <c:v>7736</c:v>
                </c:pt>
                <c:pt idx="7">
                  <c:v>7852</c:v>
                </c:pt>
                <c:pt idx="8">
                  <c:v>8146</c:v>
                </c:pt>
                <c:pt idx="9">
                  <c:v>10846</c:v>
                </c:pt>
                <c:pt idx="10">
                  <c:v>12517</c:v>
                </c:pt>
                <c:pt idx="11">
                  <c:v>12951</c:v>
                </c:pt>
              </c:numCache>
            </c:numRef>
          </c:xVal>
          <c:yVal>
            <c:numRef>
              <c:f>Active!$K$21:$K$500</c:f>
              <c:numCache>
                <c:formatCode>General</c:formatCode>
                <c:ptCount val="480"/>
                <c:pt idx="1">
                  <c:v>4.8249999999825377E-2</c:v>
                </c:pt>
                <c:pt idx="2">
                  <c:v>5.1299999999173451E-2</c:v>
                </c:pt>
                <c:pt idx="4">
                  <c:v>0.1053200000023935</c:v>
                </c:pt>
                <c:pt idx="5">
                  <c:v>0.10345000000233995</c:v>
                </c:pt>
                <c:pt idx="6">
                  <c:v>0.11170000000856817</c:v>
                </c:pt>
                <c:pt idx="7">
                  <c:v>0.11304000000382075</c:v>
                </c:pt>
                <c:pt idx="9">
                  <c:v>0.51251999996020459</c:v>
                </c:pt>
                <c:pt idx="10">
                  <c:v>0.18770000000222353</c:v>
                </c:pt>
                <c:pt idx="11">
                  <c:v>0.18480000000272412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D35-4EEC-94E6-43AC7232544D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Active!$F$21:$F$500</c:f>
              <c:numCache>
                <c:formatCode>General</c:formatCode>
                <c:ptCount val="480"/>
                <c:pt idx="0">
                  <c:v>0</c:v>
                </c:pt>
                <c:pt idx="1">
                  <c:v>3599.5</c:v>
                </c:pt>
                <c:pt idx="2">
                  <c:v>3600</c:v>
                </c:pt>
                <c:pt idx="3">
                  <c:v>4160</c:v>
                </c:pt>
                <c:pt idx="4">
                  <c:v>7135.5</c:v>
                </c:pt>
                <c:pt idx="5">
                  <c:v>7214.5</c:v>
                </c:pt>
                <c:pt idx="6">
                  <c:v>7736</c:v>
                </c:pt>
                <c:pt idx="7">
                  <c:v>7852</c:v>
                </c:pt>
                <c:pt idx="8">
                  <c:v>8146</c:v>
                </c:pt>
                <c:pt idx="9">
                  <c:v>10846</c:v>
                </c:pt>
                <c:pt idx="10">
                  <c:v>12517</c:v>
                </c:pt>
                <c:pt idx="11">
                  <c:v>12951</c:v>
                </c:pt>
              </c:numCache>
            </c:numRef>
          </c:xVal>
          <c:yVal>
            <c:numRef>
              <c:f>Active!$L$21:$L$500</c:f>
              <c:numCache>
                <c:formatCode>General</c:formatCode>
                <c:ptCount val="48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D35-4EEC-94E6-43AC7232544D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Active!$F$21:$F$500</c:f>
              <c:numCache>
                <c:formatCode>General</c:formatCode>
                <c:ptCount val="480"/>
                <c:pt idx="0">
                  <c:v>0</c:v>
                </c:pt>
                <c:pt idx="1">
                  <c:v>3599.5</c:v>
                </c:pt>
                <c:pt idx="2">
                  <c:v>3600</c:v>
                </c:pt>
                <c:pt idx="3">
                  <c:v>4160</c:v>
                </c:pt>
                <c:pt idx="4">
                  <c:v>7135.5</c:v>
                </c:pt>
                <c:pt idx="5">
                  <c:v>7214.5</c:v>
                </c:pt>
                <c:pt idx="6">
                  <c:v>7736</c:v>
                </c:pt>
                <c:pt idx="7">
                  <c:v>7852</c:v>
                </c:pt>
                <c:pt idx="8">
                  <c:v>8146</c:v>
                </c:pt>
                <c:pt idx="9">
                  <c:v>10846</c:v>
                </c:pt>
                <c:pt idx="10">
                  <c:v>12517</c:v>
                </c:pt>
                <c:pt idx="11">
                  <c:v>12951</c:v>
                </c:pt>
              </c:numCache>
            </c:numRef>
          </c:xVal>
          <c:yVal>
            <c:numRef>
              <c:f>Active!$M$21:$M$500</c:f>
              <c:numCache>
                <c:formatCode>General</c:formatCode>
                <c:ptCount val="48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D35-4EEC-94E6-43AC7232544D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Active!$F$21:$F$500</c:f>
              <c:numCache>
                <c:formatCode>General</c:formatCode>
                <c:ptCount val="480"/>
                <c:pt idx="0">
                  <c:v>0</c:v>
                </c:pt>
                <c:pt idx="1">
                  <c:v>3599.5</c:v>
                </c:pt>
                <c:pt idx="2">
                  <c:v>3600</c:v>
                </c:pt>
                <c:pt idx="3">
                  <c:v>4160</c:v>
                </c:pt>
                <c:pt idx="4">
                  <c:v>7135.5</c:v>
                </c:pt>
                <c:pt idx="5">
                  <c:v>7214.5</c:v>
                </c:pt>
                <c:pt idx="6">
                  <c:v>7736</c:v>
                </c:pt>
                <c:pt idx="7">
                  <c:v>7852</c:v>
                </c:pt>
                <c:pt idx="8">
                  <c:v>8146</c:v>
                </c:pt>
                <c:pt idx="9">
                  <c:v>10846</c:v>
                </c:pt>
                <c:pt idx="10">
                  <c:v>12517</c:v>
                </c:pt>
                <c:pt idx="11">
                  <c:v>12951</c:v>
                </c:pt>
              </c:numCache>
            </c:numRef>
          </c:xVal>
          <c:yVal>
            <c:numRef>
              <c:f>Active!$N$21:$N$500</c:f>
              <c:numCache>
                <c:formatCode>General</c:formatCode>
                <c:ptCount val="48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3D35-4EEC-94E6-43AC7232544D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Active!$F$21:$F$500</c:f>
              <c:numCache>
                <c:formatCode>General</c:formatCode>
                <c:ptCount val="480"/>
                <c:pt idx="0">
                  <c:v>0</c:v>
                </c:pt>
                <c:pt idx="1">
                  <c:v>3599.5</c:v>
                </c:pt>
                <c:pt idx="2">
                  <c:v>3600</c:v>
                </c:pt>
                <c:pt idx="3">
                  <c:v>4160</c:v>
                </c:pt>
                <c:pt idx="4">
                  <c:v>7135.5</c:v>
                </c:pt>
                <c:pt idx="5">
                  <c:v>7214.5</c:v>
                </c:pt>
                <c:pt idx="6">
                  <c:v>7736</c:v>
                </c:pt>
                <c:pt idx="7">
                  <c:v>7852</c:v>
                </c:pt>
                <c:pt idx="8">
                  <c:v>8146</c:v>
                </c:pt>
                <c:pt idx="9">
                  <c:v>10846</c:v>
                </c:pt>
                <c:pt idx="10">
                  <c:v>12517</c:v>
                </c:pt>
                <c:pt idx="11">
                  <c:v>12951</c:v>
                </c:pt>
              </c:numCache>
            </c:numRef>
          </c:xVal>
          <c:yVal>
            <c:numRef>
              <c:f>Active!$O$21:$O$500</c:f>
              <c:numCache>
                <c:formatCode>General</c:formatCode>
                <c:ptCount val="480"/>
                <c:pt idx="0">
                  <c:v>-2.8530815143142652E-2</c:v>
                </c:pt>
                <c:pt idx="1">
                  <c:v>5.4455000362758882E-2</c:v>
                </c:pt>
                <c:pt idx="2">
                  <c:v>5.446652777149702E-2</c:v>
                </c:pt>
                <c:pt idx="3">
                  <c:v>6.7377225558218748E-2</c:v>
                </c:pt>
                <c:pt idx="4">
                  <c:v>0.13597683495891608</c:v>
                </c:pt>
                <c:pt idx="5">
                  <c:v>0.13779816553954288</c:v>
                </c:pt>
                <c:pt idx="6">
                  <c:v>0.14982125285342751</c:v>
                </c:pt>
                <c:pt idx="7">
                  <c:v>0.15249561168067699</c:v>
                </c:pt>
                <c:pt idx="8">
                  <c:v>0.1592737280187059</c:v>
                </c:pt>
                <c:pt idx="9">
                  <c:v>0.22152173520468565</c:v>
                </c:pt>
                <c:pt idx="10">
                  <c:v>0.26004633520756426</c:v>
                </c:pt>
                <c:pt idx="11">
                  <c:v>0.27005212599227357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3D35-4EEC-94E6-43AC7232544D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69FFFF"/>
                </a:solidFill>
                <a:prstDash val="solid"/>
              </a:ln>
            </c:spPr>
          </c:marker>
          <c:xVal>
            <c:numRef>
              <c:f>Active!$F$21:$F$500</c:f>
              <c:numCache>
                <c:formatCode>General</c:formatCode>
                <c:ptCount val="480"/>
                <c:pt idx="0">
                  <c:v>0</c:v>
                </c:pt>
                <c:pt idx="1">
                  <c:v>3599.5</c:v>
                </c:pt>
                <c:pt idx="2">
                  <c:v>3600</c:v>
                </c:pt>
                <c:pt idx="3">
                  <c:v>4160</c:v>
                </c:pt>
                <c:pt idx="4">
                  <c:v>7135.5</c:v>
                </c:pt>
                <c:pt idx="5">
                  <c:v>7214.5</c:v>
                </c:pt>
                <c:pt idx="6">
                  <c:v>7736</c:v>
                </c:pt>
                <c:pt idx="7">
                  <c:v>7852</c:v>
                </c:pt>
                <c:pt idx="8">
                  <c:v>8146</c:v>
                </c:pt>
                <c:pt idx="9">
                  <c:v>10846</c:v>
                </c:pt>
                <c:pt idx="10">
                  <c:v>12517</c:v>
                </c:pt>
                <c:pt idx="11">
                  <c:v>12951</c:v>
                </c:pt>
              </c:numCache>
            </c:numRef>
          </c:xVal>
          <c:yVal>
            <c:numRef>
              <c:f>Active!$U$21:$U$500</c:f>
              <c:numCache>
                <c:formatCode>General</c:formatCode>
                <c:ptCount val="480"/>
                <c:pt idx="8">
                  <c:v>-1.7419999996491242E-2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3D35-4EEC-94E6-43AC723254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01579944"/>
        <c:axId val="1"/>
      </c:scatterChart>
      <c:valAx>
        <c:axId val="70157994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263032685550258"/>
              <c:y val="0.8648673870721115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2005943536404163E-2"/>
              <c:y val="0.4144156755180377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01579944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8722155272938579"/>
          <c:y val="0.91291543512015949"/>
          <c:w val="0.71471072059528962"/>
          <c:h val="6.006037533596586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219075</xdr:colOff>
      <xdr:row>0</xdr:row>
      <xdr:rowOff>0</xdr:rowOff>
    </xdr:from>
    <xdr:to>
      <xdr:col>16</xdr:col>
      <xdr:colOff>352425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394DB0E7-2F17-C42D-AED9-6B9DF57814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av-astro.de/sfs/BAVM_link.php?BAVMnr=173" TargetMode="External"/><Relationship Id="rId7" Type="http://schemas.openxmlformats.org/officeDocument/2006/relationships/hyperlink" Target="http://var.astro.cz/oejv/issues/oejv0137.pdf" TargetMode="External"/><Relationship Id="rId2" Type="http://schemas.openxmlformats.org/officeDocument/2006/relationships/hyperlink" Target="http://www.konkoly.hu/cgi-bin/IBVS?5494" TargetMode="External"/><Relationship Id="rId1" Type="http://schemas.openxmlformats.org/officeDocument/2006/relationships/hyperlink" Target="http://www.konkoly.hu/cgi-bin/IBVS?5494" TargetMode="External"/><Relationship Id="rId6" Type="http://schemas.openxmlformats.org/officeDocument/2006/relationships/hyperlink" Target="http://var.astro.cz/oejv/issues/oejv0160.pdf" TargetMode="External"/><Relationship Id="rId5" Type="http://schemas.openxmlformats.org/officeDocument/2006/relationships/hyperlink" Target="http://www.konkoly.hu/cgi-bin/IBVS?6011" TargetMode="External"/><Relationship Id="rId4" Type="http://schemas.openxmlformats.org/officeDocument/2006/relationships/hyperlink" Target="http://www.konkoly.hu/cgi-bin/IBVS?596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7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6" sqref="F6"/>
    </sheetView>
  </sheetViews>
  <sheetFormatPr defaultColWidth="10.28515625" defaultRowHeight="12.75" x14ac:dyDescent="0.2"/>
  <cols>
    <col min="1" max="1" width="14.42578125" style="1" customWidth="1"/>
    <col min="2" max="2" width="3.85546875" style="1" customWidth="1"/>
    <col min="3" max="3" width="11.85546875" style="1" customWidth="1"/>
    <col min="4" max="4" width="9.42578125" style="1" customWidth="1"/>
    <col min="5" max="5" width="15.42578125" style="1" customWidth="1"/>
    <col min="6" max="6" width="10.28515625" style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1" customWidth="1"/>
    <col min="18" max="16384" width="10.28515625" style="1"/>
  </cols>
  <sheetData>
    <row r="1" spans="1:12" s="25" customFormat="1" ht="23.25" customHeight="1" x14ac:dyDescent="0.2">
      <c r="A1" s="53" t="s">
        <v>0</v>
      </c>
      <c r="E1" s="2"/>
      <c r="F1" s="2"/>
      <c r="G1" s="54" t="s">
        <v>1</v>
      </c>
      <c r="H1" s="3" t="s">
        <v>2</v>
      </c>
      <c r="I1" s="4" t="s">
        <v>3</v>
      </c>
      <c r="J1" s="4" t="s">
        <v>3</v>
      </c>
      <c r="K1" s="55">
        <v>50416.416299999997</v>
      </c>
      <c r="L1" s="55">
        <v>0.70169999999999999</v>
      </c>
    </row>
    <row r="2" spans="1:12" s="25" customFormat="1" ht="12.95" customHeight="1" x14ac:dyDescent="0.2">
      <c r="A2" s="25" t="s">
        <v>4</v>
      </c>
      <c r="B2" s="25" t="s">
        <v>1</v>
      </c>
      <c r="C2" s="3"/>
    </row>
    <row r="3" spans="1:12" s="25" customFormat="1" ht="12.95" customHeight="1" x14ac:dyDescent="0.2"/>
    <row r="4" spans="1:12" s="25" customFormat="1" ht="12.95" customHeight="1" x14ac:dyDescent="0.2">
      <c r="A4" s="26" t="s">
        <v>5</v>
      </c>
      <c r="C4" s="27" t="s">
        <v>3</v>
      </c>
      <c r="D4" s="28" t="s">
        <v>3</v>
      </c>
      <c r="E4" s="29" t="s">
        <v>6</v>
      </c>
      <c r="F4" s="30" t="str">
        <f>"F"&amp;E19</f>
        <v>F21</v>
      </c>
      <c r="G4" s="31" t="str">
        <f>"G"&amp;E19</f>
        <v>G21</v>
      </c>
    </row>
    <row r="5" spans="1:12" s="25" customFormat="1" ht="12.95" customHeight="1" x14ac:dyDescent="0.2"/>
    <row r="6" spans="1:12" s="25" customFormat="1" ht="12.95" customHeight="1" x14ac:dyDescent="0.2">
      <c r="A6" s="32" t="s">
        <v>7</v>
      </c>
    </row>
    <row r="7" spans="1:12" s="25" customFormat="1" ht="12.95" customHeight="1" x14ac:dyDescent="0.2">
      <c r="A7" s="25" t="s">
        <v>8</v>
      </c>
      <c r="C7" s="25">
        <v>50416.416299999997</v>
      </c>
    </row>
    <row r="8" spans="1:12" s="25" customFormat="1" ht="12.95" customHeight="1" x14ac:dyDescent="0.2">
      <c r="A8" s="25" t="s">
        <v>9</v>
      </c>
      <c r="C8" s="25">
        <v>0.70169999999999999</v>
      </c>
      <c r="D8" s="33" t="s">
        <v>2</v>
      </c>
    </row>
    <row r="9" spans="1:12" s="25" customFormat="1" ht="12.95" customHeight="1" x14ac:dyDescent="0.2">
      <c r="A9" s="26" t="s">
        <v>10</v>
      </c>
      <c r="C9" s="34">
        <v>-9.5</v>
      </c>
      <c r="D9" s="25" t="s">
        <v>11</v>
      </c>
    </row>
    <row r="10" spans="1:12" s="25" customFormat="1" ht="12.95" customHeight="1" x14ac:dyDescent="0.2">
      <c r="C10" s="35" t="s">
        <v>12</v>
      </c>
      <c r="D10" s="35" t="s">
        <v>13</v>
      </c>
    </row>
    <row r="11" spans="1:12" s="25" customFormat="1" ht="12.95" customHeight="1" x14ac:dyDescent="0.2">
      <c r="A11" s="25" t="s">
        <v>14</v>
      </c>
      <c r="C11" s="31">
        <f ca="1">INTERCEPT(INDIRECT($G$11):G992,INDIRECT($F$11):F992)</f>
        <v>-2.8530815143142652E-2</v>
      </c>
      <c r="D11" s="36"/>
      <c r="F11" s="30" t="str">
        <f>"F"&amp;E19</f>
        <v>F21</v>
      </c>
      <c r="G11" s="31" t="str">
        <f>"G"&amp;E19</f>
        <v>G21</v>
      </c>
    </row>
    <row r="12" spans="1:12" s="25" customFormat="1" ht="12.95" customHeight="1" x14ac:dyDescent="0.2">
      <c r="A12" s="25" t="s">
        <v>15</v>
      </c>
      <c r="C12" s="31">
        <f ca="1">SLOPE(INDIRECT($G$11):G992,INDIRECT($F$11):F992)</f>
        <v>2.3054817476288799E-5</v>
      </c>
      <c r="D12" s="36"/>
    </row>
    <row r="13" spans="1:12" s="25" customFormat="1" ht="12.95" customHeight="1" x14ac:dyDescent="0.2">
      <c r="A13" s="25" t="s">
        <v>16</v>
      </c>
      <c r="C13" s="36" t="s">
        <v>17</v>
      </c>
      <c r="D13" s="33" t="s">
        <v>18</v>
      </c>
      <c r="E13" s="34">
        <v>1</v>
      </c>
    </row>
    <row r="14" spans="1:12" s="25" customFormat="1" ht="12.95" customHeight="1" x14ac:dyDescent="0.2">
      <c r="D14" s="33" t="s">
        <v>19</v>
      </c>
      <c r="E14" s="31">
        <f ca="1">NOW()+15018.5+$C$9/24</f>
        <v>60378.609519791666</v>
      </c>
    </row>
    <row r="15" spans="1:12" s="25" customFormat="1" ht="12.95" customHeight="1" x14ac:dyDescent="0.2">
      <c r="A15" s="32" t="s">
        <v>20</v>
      </c>
      <c r="C15" s="37">
        <f ca="1">(C7+C11)+(C8+C12)*INT(MAX(F21:F3533))</f>
        <v>59504.403052125992</v>
      </c>
      <c r="D15" s="33" t="s">
        <v>21</v>
      </c>
      <c r="E15" s="31">
        <f ca="1">ROUND(2*(E14-$C$7)/$C$8,0)/2+E13</f>
        <v>14198</v>
      </c>
    </row>
    <row r="16" spans="1:12" s="25" customFormat="1" ht="12.95" customHeight="1" x14ac:dyDescent="0.2">
      <c r="A16" s="32" t="s">
        <v>22</v>
      </c>
      <c r="C16" s="37">
        <f ca="1">+C8+C12</f>
        <v>0.70172305481747632</v>
      </c>
      <c r="D16" s="33" t="s">
        <v>23</v>
      </c>
      <c r="E16" s="31">
        <f ca="1">ROUND(2*(E14-$C$15)/$C$16,0)/2+E13</f>
        <v>1247</v>
      </c>
    </row>
    <row r="17" spans="1:21" s="25" customFormat="1" ht="12.95" customHeight="1" x14ac:dyDescent="0.2">
      <c r="A17" s="33" t="s">
        <v>24</v>
      </c>
      <c r="C17" s="25">
        <f>COUNT(C21:C2191)</f>
        <v>12</v>
      </c>
      <c r="D17" s="33" t="s">
        <v>25</v>
      </c>
      <c r="E17" s="38">
        <f ca="1">+$C$15+$C$16*E16-15018.5-$C$9/24</f>
        <v>45361.347534816719</v>
      </c>
    </row>
    <row r="18" spans="1:21" s="25" customFormat="1" ht="12.95" customHeight="1" x14ac:dyDescent="0.2">
      <c r="A18" s="32" t="s">
        <v>26</v>
      </c>
      <c r="C18" s="39">
        <f ca="1">+C15</f>
        <v>59504.403052125992</v>
      </c>
      <c r="D18" s="40">
        <f ca="1">+C16</f>
        <v>0.70172305481747632</v>
      </c>
      <c r="E18" s="41" t="s">
        <v>27</v>
      </c>
    </row>
    <row r="19" spans="1:21" s="25" customFormat="1" ht="12.95" customHeight="1" x14ac:dyDescent="0.2">
      <c r="A19" s="33" t="s">
        <v>28</v>
      </c>
      <c r="E19" s="42">
        <v>21</v>
      </c>
    </row>
    <row r="20" spans="1:21" s="25" customFormat="1" ht="12.95" customHeight="1" x14ac:dyDescent="0.2">
      <c r="A20" s="35" t="s">
        <v>29</v>
      </c>
      <c r="B20" s="35" t="s">
        <v>30</v>
      </c>
      <c r="C20" s="35" t="s">
        <v>31</v>
      </c>
      <c r="D20" s="35" t="s">
        <v>32</v>
      </c>
      <c r="E20" s="35" t="s">
        <v>33</v>
      </c>
      <c r="F20" s="35" t="s">
        <v>34</v>
      </c>
      <c r="G20" s="35" t="s">
        <v>35</v>
      </c>
      <c r="H20" s="43" t="s">
        <v>36</v>
      </c>
      <c r="I20" s="43" t="s">
        <v>37</v>
      </c>
      <c r="J20" s="43" t="s">
        <v>38</v>
      </c>
      <c r="K20" s="43" t="s">
        <v>39</v>
      </c>
      <c r="L20" s="43" t="s">
        <v>40</v>
      </c>
      <c r="M20" s="43" t="s">
        <v>41</v>
      </c>
      <c r="N20" s="43" t="s">
        <v>42</v>
      </c>
      <c r="O20" s="43" t="s">
        <v>43</v>
      </c>
      <c r="P20" s="43" t="s">
        <v>44</v>
      </c>
      <c r="Q20" s="35" t="s">
        <v>45</v>
      </c>
      <c r="U20" s="43" t="s">
        <v>46</v>
      </c>
    </row>
    <row r="21" spans="1:21" s="25" customFormat="1" ht="12.95" customHeight="1" x14ac:dyDescent="0.2">
      <c r="A21" s="33" t="s">
        <v>2</v>
      </c>
      <c r="C21" s="3">
        <v>50416.416299999997</v>
      </c>
      <c r="D21" s="3" t="s">
        <v>17</v>
      </c>
      <c r="E21" s="25">
        <f t="shared" ref="E21:E31" si="0">+(C21-C$7)/C$8</f>
        <v>0</v>
      </c>
      <c r="F21" s="25">
        <f t="shared" ref="F21:F29" si="1">ROUND(2*E21,0)/2</f>
        <v>0</v>
      </c>
      <c r="G21" s="25">
        <f t="shared" ref="G21:G28" si="2">+C21-(C$7+F21*C$8)</f>
        <v>0</v>
      </c>
      <c r="H21" s="25">
        <f>+G21</f>
        <v>0</v>
      </c>
      <c r="O21" s="25">
        <f t="shared" ref="O21:O31" ca="1" si="3">+C$11+C$12*$F21</f>
        <v>-2.8530815143142652E-2</v>
      </c>
      <c r="Q21" s="44">
        <f t="shared" ref="Q21:Q31" si="4">+C21-15018.5</f>
        <v>35397.916299999997</v>
      </c>
    </row>
    <row r="22" spans="1:21" s="25" customFormat="1" ht="12.95" customHeight="1" x14ac:dyDescent="0.2">
      <c r="A22" s="7" t="s">
        <v>47</v>
      </c>
      <c r="B22" s="8" t="s">
        <v>48</v>
      </c>
      <c r="C22" s="9">
        <v>52942.233699999997</v>
      </c>
      <c r="D22" s="9">
        <v>5.0000000000000001E-4</v>
      </c>
      <c r="E22" s="25">
        <f t="shared" si="0"/>
        <v>3599.5687615790221</v>
      </c>
      <c r="F22" s="25">
        <f t="shared" si="1"/>
        <v>3599.5</v>
      </c>
      <c r="G22" s="25">
        <f t="shared" si="2"/>
        <v>4.8249999999825377E-2</v>
      </c>
      <c r="K22" s="25">
        <f>+G22</f>
        <v>4.8249999999825377E-2</v>
      </c>
      <c r="O22" s="25">
        <f t="shared" ca="1" si="3"/>
        <v>5.4455000362758882E-2</v>
      </c>
      <c r="Q22" s="44">
        <f t="shared" si="4"/>
        <v>37923.733699999997</v>
      </c>
    </row>
    <row r="23" spans="1:21" s="25" customFormat="1" ht="12.95" customHeight="1" x14ac:dyDescent="0.2">
      <c r="A23" s="7" t="s">
        <v>47</v>
      </c>
      <c r="B23" s="8" t="s">
        <v>49</v>
      </c>
      <c r="C23" s="9">
        <v>52942.587599999999</v>
      </c>
      <c r="D23" s="9">
        <v>8.0000000000000004E-4</v>
      </c>
      <c r="E23" s="25">
        <f t="shared" si="0"/>
        <v>3600.0731081658855</v>
      </c>
      <c r="F23" s="25">
        <f t="shared" si="1"/>
        <v>3600</v>
      </c>
      <c r="G23" s="25">
        <f t="shared" si="2"/>
        <v>5.1299999999173451E-2</v>
      </c>
      <c r="K23" s="25">
        <f>+G23</f>
        <v>5.1299999999173451E-2</v>
      </c>
      <c r="O23" s="25">
        <f t="shared" ca="1" si="3"/>
        <v>5.446652777149702E-2</v>
      </c>
      <c r="Q23" s="44">
        <f t="shared" si="4"/>
        <v>37924.087599999999</v>
      </c>
    </row>
    <row r="24" spans="1:21" s="25" customFormat="1" ht="12.95" customHeight="1" x14ac:dyDescent="0.2">
      <c r="A24" s="7" t="s">
        <v>50</v>
      </c>
      <c r="B24" s="8"/>
      <c r="C24" s="7">
        <v>53335.545700000002</v>
      </c>
      <c r="D24" s="7">
        <v>5.9999999999999995E-4</v>
      </c>
      <c r="E24" s="25">
        <f t="shared" si="0"/>
        <v>4160.081801339611</v>
      </c>
      <c r="F24" s="25">
        <f t="shared" si="1"/>
        <v>4160</v>
      </c>
      <c r="G24" s="25">
        <f t="shared" si="2"/>
        <v>5.7400000005145557E-2</v>
      </c>
      <c r="J24" s="25">
        <f>+G24</f>
        <v>5.7400000005145557E-2</v>
      </c>
      <c r="O24" s="25">
        <f t="shared" ca="1" si="3"/>
        <v>6.7377225558218748E-2</v>
      </c>
      <c r="Q24" s="44">
        <f t="shared" si="4"/>
        <v>38317.045700000002</v>
      </c>
    </row>
    <row r="25" spans="1:21" s="25" customFormat="1" ht="12.95" customHeight="1" x14ac:dyDescent="0.2">
      <c r="A25" s="45" t="s">
        <v>51</v>
      </c>
      <c r="B25" s="10" t="s">
        <v>48</v>
      </c>
      <c r="C25" s="7">
        <v>55423.501969999998</v>
      </c>
      <c r="D25" s="7">
        <v>5.9999999999999995E-4</v>
      </c>
      <c r="E25" s="25">
        <f t="shared" si="0"/>
        <v>7135.6500926321796</v>
      </c>
      <c r="F25" s="25">
        <f t="shared" si="1"/>
        <v>7135.5</v>
      </c>
      <c r="G25" s="25">
        <f t="shared" si="2"/>
        <v>0.1053200000023935</v>
      </c>
      <c r="K25" s="25">
        <f>+G25</f>
        <v>0.1053200000023935</v>
      </c>
      <c r="O25" s="25">
        <f t="shared" ca="1" si="3"/>
        <v>0.13597683495891608</v>
      </c>
      <c r="Q25" s="44">
        <f t="shared" si="4"/>
        <v>40405.001969999998</v>
      </c>
    </row>
    <row r="26" spans="1:21" s="25" customFormat="1" ht="12.95" customHeight="1" x14ac:dyDescent="0.2">
      <c r="A26" s="45" t="s">
        <v>52</v>
      </c>
      <c r="B26" s="10" t="s">
        <v>48</v>
      </c>
      <c r="C26" s="7">
        <v>55478.934399999998</v>
      </c>
      <c r="D26" s="7">
        <v>5.0000000000000001E-4</v>
      </c>
      <c r="E26" s="25">
        <f t="shared" si="0"/>
        <v>7214.6474276756462</v>
      </c>
      <c r="F26" s="25">
        <f t="shared" si="1"/>
        <v>7214.5</v>
      </c>
      <c r="G26" s="25">
        <f t="shared" si="2"/>
        <v>0.10345000000233995</v>
      </c>
      <c r="K26" s="25">
        <f>+G26</f>
        <v>0.10345000000233995</v>
      </c>
      <c r="O26" s="25">
        <f t="shared" ca="1" si="3"/>
        <v>0.13779816553954288</v>
      </c>
      <c r="Q26" s="44">
        <f t="shared" si="4"/>
        <v>40460.434399999998</v>
      </c>
    </row>
    <row r="27" spans="1:21" s="25" customFormat="1" ht="12.95" customHeight="1" x14ac:dyDescent="0.2">
      <c r="A27" s="7" t="s">
        <v>53</v>
      </c>
      <c r="B27" s="10" t="s">
        <v>49</v>
      </c>
      <c r="C27" s="7">
        <v>55844.879200000003</v>
      </c>
      <c r="D27" s="7">
        <v>4.0000000000000002E-4</v>
      </c>
      <c r="E27" s="25">
        <f t="shared" si="0"/>
        <v>7736.1591848368334</v>
      </c>
      <c r="F27" s="25">
        <f t="shared" si="1"/>
        <v>7736</v>
      </c>
      <c r="G27" s="25">
        <f t="shared" si="2"/>
        <v>0.11170000000856817</v>
      </c>
      <c r="K27" s="25">
        <f>+G27</f>
        <v>0.11170000000856817</v>
      </c>
      <c r="O27" s="25">
        <f t="shared" ca="1" si="3"/>
        <v>0.14982125285342751</v>
      </c>
      <c r="Q27" s="44">
        <f t="shared" si="4"/>
        <v>40826.379200000003</v>
      </c>
    </row>
    <row r="28" spans="1:21" s="25" customFormat="1" ht="12.95" customHeight="1" x14ac:dyDescent="0.2">
      <c r="A28" s="46" t="s">
        <v>54</v>
      </c>
      <c r="B28" s="47" t="s">
        <v>49</v>
      </c>
      <c r="C28" s="48">
        <v>55926.277739999998</v>
      </c>
      <c r="D28" s="48">
        <v>2.0000000000000001E-4</v>
      </c>
      <c r="E28" s="25">
        <f t="shared" si="0"/>
        <v>7852.1610944848235</v>
      </c>
      <c r="F28" s="25">
        <f t="shared" si="1"/>
        <v>7852</v>
      </c>
      <c r="G28" s="25">
        <f t="shared" si="2"/>
        <v>0.11304000000382075</v>
      </c>
      <c r="K28" s="25">
        <f>+G28</f>
        <v>0.11304000000382075</v>
      </c>
      <c r="O28" s="25">
        <f t="shared" ca="1" si="3"/>
        <v>0.15249561168067699</v>
      </c>
      <c r="Q28" s="44">
        <f t="shared" si="4"/>
        <v>40907.777739999998</v>
      </c>
    </row>
    <row r="29" spans="1:21" s="25" customFormat="1" ht="12.95" customHeight="1" x14ac:dyDescent="0.2">
      <c r="A29" s="46" t="s">
        <v>54</v>
      </c>
      <c r="B29" s="47" t="s">
        <v>49</v>
      </c>
      <c r="C29" s="48">
        <v>56132.447079999998</v>
      </c>
      <c r="D29" s="48">
        <v>5.9999999999999995E-4</v>
      </c>
      <c r="E29" s="25">
        <f t="shared" si="0"/>
        <v>8145.9751745760313</v>
      </c>
      <c r="F29" s="25">
        <f t="shared" si="1"/>
        <v>8146</v>
      </c>
      <c r="O29" s="25">
        <f t="shared" ca="1" si="3"/>
        <v>0.1592737280187059</v>
      </c>
      <c r="Q29" s="44">
        <f t="shared" si="4"/>
        <v>41113.947079999998</v>
      </c>
      <c r="U29" s="25">
        <f>+C29-(C$7+F29*C$8)</f>
        <v>-1.7419999996491242E-2</v>
      </c>
    </row>
    <row r="30" spans="1:21" s="25" customFormat="1" ht="12.95" customHeight="1" x14ac:dyDescent="0.2">
      <c r="A30" s="49" t="s">
        <v>56</v>
      </c>
      <c r="B30" s="50" t="s">
        <v>48</v>
      </c>
      <c r="C30" s="51">
        <v>58027.567019999959</v>
      </c>
      <c r="D30" s="51">
        <v>5.0000000000000001E-4</v>
      </c>
      <c r="E30" s="25">
        <f t="shared" si="0"/>
        <v>10846.730397605759</v>
      </c>
      <c r="F30" s="25">
        <f>ROUND(2*E30,0)/2-0.5</f>
        <v>10846</v>
      </c>
      <c r="G30" s="25">
        <f>+C30-(C$7+F30*C$8)</f>
        <v>0.51251999996020459</v>
      </c>
      <c r="K30" s="25">
        <f>G30</f>
        <v>0.51251999996020459</v>
      </c>
      <c r="O30" s="25">
        <f t="shared" ca="1" si="3"/>
        <v>0.22152173520468565</v>
      </c>
      <c r="Q30" s="44">
        <f t="shared" si="4"/>
        <v>43009.067019999959</v>
      </c>
    </row>
    <row r="31" spans="1:21" s="25" customFormat="1" ht="12.95" customHeight="1" x14ac:dyDescent="0.2">
      <c r="A31" s="32" t="s">
        <v>55</v>
      </c>
      <c r="C31" s="3">
        <v>59199.782899999998</v>
      </c>
      <c r="D31" s="3">
        <v>8.0000000000000004E-4</v>
      </c>
      <c r="E31" s="25">
        <f t="shared" si="0"/>
        <v>12517.267493230727</v>
      </c>
      <c r="F31" s="52">
        <f>ROUND(2*E31,0)/2-0.5</f>
        <v>12517</v>
      </c>
      <c r="G31" s="25">
        <f>+C31-(C$7+F31*C$8)</f>
        <v>0.18770000000222353</v>
      </c>
      <c r="K31" s="25">
        <f>G31</f>
        <v>0.18770000000222353</v>
      </c>
      <c r="O31" s="25">
        <f t="shared" ca="1" si="3"/>
        <v>0.26004633520756426</v>
      </c>
      <c r="Q31" s="44">
        <f t="shared" si="4"/>
        <v>44181.282899999998</v>
      </c>
    </row>
    <row r="32" spans="1:21" s="25" customFormat="1" ht="12.95" customHeight="1" x14ac:dyDescent="0.2">
      <c r="A32" s="23" t="s">
        <v>104</v>
      </c>
      <c r="B32" s="24" t="s">
        <v>48</v>
      </c>
      <c r="C32" s="56">
        <v>59504.317799999997</v>
      </c>
      <c r="D32" s="57">
        <v>6.9999999999999999E-4</v>
      </c>
      <c r="E32" s="25">
        <f t="shared" ref="E32" si="5">+(C32-C$7)/C$8</f>
        <v>12951.263360410432</v>
      </c>
      <c r="F32" s="25">
        <f>ROUND(2*E32,0)/2-0.5</f>
        <v>12951</v>
      </c>
      <c r="G32" s="25">
        <f>+C32-(C$7+F32*C$8)</f>
        <v>0.18480000000272412</v>
      </c>
      <c r="K32" s="25">
        <f>G32</f>
        <v>0.18480000000272412</v>
      </c>
      <c r="O32" s="25">
        <f t="shared" ref="O32" ca="1" si="6">+C$11+C$12*$F32</f>
        <v>0.27005212599227357</v>
      </c>
      <c r="Q32" s="44">
        <f t="shared" ref="Q32" si="7">+C32-15018.5</f>
        <v>44485.817799999997</v>
      </c>
    </row>
    <row r="33" spans="3:4" s="25" customFormat="1" ht="12.95" customHeight="1" x14ac:dyDescent="0.2">
      <c r="C33" s="3"/>
      <c r="D33" s="3"/>
    </row>
    <row r="34" spans="3:4" s="25" customFormat="1" ht="12.95" customHeight="1" x14ac:dyDescent="0.2">
      <c r="C34" s="3"/>
      <c r="D34" s="3"/>
    </row>
    <row r="35" spans="3:4" s="25" customFormat="1" ht="12.95" customHeight="1" x14ac:dyDescent="0.2">
      <c r="C35" s="3"/>
      <c r="D35" s="3"/>
    </row>
    <row r="36" spans="3:4" s="25" customFormat="1" ht="12.95" customHeight="1" x14ac:dyDescent="0.2">
      <c r="C36" s="3"/>
      <c r="D36" s="3"/>
    </row>
    <row r="37" spans="3:4" x14ac:dyDescent="0.2">
      <c r="C37" s="5"/>
      <c r="D37" s="5"/>
    </row>
  </sheetData>
  <sheetProtection selectLockedCells="1" selectUnlockedCells="1"/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7"/>
  <sheetViews>
    <sheetView workbookViewId="0">
      <selection activeCell="A11" sqref="A11"/>
    </sheetView>
  </sheetViews>
  <sheetFormatPr defaultRowHeight="12.75" x14ac:dyDescent="0.2"/>
  <cols>
    <col min="1" max="1" width="19.7109375" style="5" customWidth="1"/>
    <col min="2" max="2" width="4.42578125" customWidth="1"/>
    <col min="3" max="3" width="12.7109375" style="5" customWidth="1"/>
    <col min="4" max="4" width="5.42578125" customWidth="1"/>
    <col min="5" max="5" width="14.85546875" customWidth="1"/>
    <col min="7" max="7" width="12" customWidth="1"/>
    <col min="8" max="8" width="14.140625" style="5" customWidth="1"/>
    <col min="9" max="9" width="22.5703125" customWidth="1"/>
    <col min="10" max="10" width="25.140625" customWidth="1"/>
    <col min="11" max="11" width="15.7109375" customWidth="1"/>
    <col min="12" max="12" width="14.140625" customWidth="1"/>
    <col min="13" max="13" width="9.5703125" customWidth="1"/>
    <col min="14" max="14" width="14.140625" customWidth="1"/>
    <col min="15" max="15" width="23.42578125" customWidth="1"/>
    <col min="16" max="16" width="16.5703125" customWidth="1"/>
    <col min="17" max="17" width="41" customWidth="1"/>
  </cols>
  <sheetData>
    <row r="1" spans="1:16" ht="15.75" x14ac:dyDescent="0.25">
      <c r="A1" s="11" t="s">
        <v>57</v>
      </c>
      <c r="I1" s="12" t="s">
        <v>58</v>
      </c>
      <c r="J1" s="13" t="s">
        <v>39</v>
      </c>
    </row>
    <row r="2" spans="1:16" x14ac:dyDescent="0.2">
      <c r="I2" s="14" t="s">
        <v>59</v>
      </c>
      <c r="J2" s="15" t="s">
        <v>38</v>
      </c>
    </row>
    <row r="3" spans="1:16" x14ac:dyDescent="0.2">
      <c r="A3" s="16" t="s">
        <v>60</v>
      </c>
      <c r="I3" s="14" t="s">
        <v>61</v>
      </c>
      <c r="J3" s="15" t="s">
        <v>36</v>
      </c>
    </row>
    <row r="4" spans="1:16" x14ac:dyDescent="0.2">
      <c r="I4" s="14" t="s">
        <v>62</v>
      </c>
      <c r="J4" s="15" t="s">
        <v>36</v>
      </c>
    </row>
    <row r="5" spans="1:16" x14ac:dyDescent="0.2">
      <c r="I5" s="17" t="s">
        <v>63</v>
      </c>
      <c r="J5" s="18" t="s">
        <v>37</v>
      </c>
    </row>
    <row r="11" spans="1:16" ht="12.75" customHeight="1" x14ac:dyDescent="0.2">
      <c r="A11" s="5" t="str">
        <f t="shared" ref="A11:A17" si="0">P11</f>
        <v>IBVS 5494 </v>
      </c>
      <c r="B11" s="6" t="str">
        <f t="shared" ref="B11:B17" si="1">IF(H11=INT(H11),"I","II")</f>
        <v>II</v>
      </c>
      <c r="C11" s="5">
        <f t="shared" ref="C11:C17" si="2">1*G11</f>
        <v>52942.233699999997</v>
      </c>
      <c r="D11" t="str">
        <f t="shared" ref="D11:D17" si="3">VLOOKUP(F11,I$1:J$5,2,FALSE)</f>
        <v>vis</v>
      </c>
      <c r="E11">
        <f>VLOOKUP(C11,Active!C$21:E$973,3,FALSE)</f>
        <v>3599.5687615790221</v>
      </c>
      <c r="F11" s="6" t="s">
        <v>63</v>
      </c>
      <c r="G11" t="str">
        <f t="shared" ref="G11:G17" si="4">MID(I11,3,LEN(I11)-3)</f>
        <v>52942.2337</v>
      </c>
      <c r="H11" s="5">
        <f t="shared" ref="H11:H17" si="5">1*K11</f>
        <v>629.5</v>
      </c>
      <c r="I11" s="19" t="s">
        <v>64</v>
      </c>
      <c r="J11" s="20" t="s">
        <v>65</v>
      </c>
      <c r="K11" s="19">
        <v>629.5</v>
      </c>
      <c r="L11" s="19" t="s">
        <v>66</v>
      </c>
      <c r="M11" s="20" t="s">
        <v>67</v>
      </c>
      <c r="N11" s="20" t="s">
        <v>68</v>
      </c>
      <c r="O11" s="21" t="s">
        <v>69</v>
      </c>
      <c r="P11" s="22" t="s">
        <v>70</v>
      </c>
    </row>
    <row r="12" spans="1:16" ht="12.75" customHeight="1" x14ac:dyDescent="0.2">
      <c r="A12" s="5" t="str">
        <f t="shared" si="0"/>
        <v>IBVS 5494 </v>
      </c>
      <c r="B12" s="6" t="str">
        <f t="shared" si="1"/>
        <v>I</v>
      </c>
      <c r="C12" s="5">
        <f t="shared" si="2"/>
        <v>52942.587599999999</v>
      </c>
      <c r="D12" t="str">
        <f t="shared" si="3"/>
        <v>vis</v>
      </c>
      <c r="E12">
        <f>VLOOKUP(C12,Active!C$21:E$973,3,FALSE)</f>
        <v>3600.0731081658855</v>
      </c>
      <c r="F12" s="6" t="s">
        <v>63</v>
      </c>
      <c r="G12" t="str">
        <f t="shared" si="4"/>
        <v>52942.5876</v>
      </c>
      <c r="H12" s="5">
        <f t="shared" si="5"/>
        <v>630</v>
      </c>
      <c r="I12" s="19" t="s">
        <v>71</v>
      </c>
      <c r="J12" s="20" t="s">
        <v>72</v>
      </c>
      <c r="K12" s="19">
        <v>630</v>
      </c>
      <c r="L12" s="19" t="s">
        <v>73</v>
      </c>
      <c r="M12" s="20" t="s">
        <v>67</v>
      </c>
      <c r="N12" s="20" t="s">
        <v>68</v>
      </c>
      <c r="O12" s="21" t="s">
        <v>69</v>
      </c>
      <c r="P12" s="22" t="s">
        <v>70</v>
      </c>
    </row>
    <row r="13" spans="1:16" ht="12.75" customHeight="1" x14ac:dyDescent="0.2">
      <c r="A13" s="5" t="str">
        <f t="shared" si="0"/>
        <v>BAVM 173 </v>
      </c>
      <c r="B13" s="6" t="str">
        <f t="shared" si="1"/>
        <v>I</v>
      </c>
      <c r="C13" s="5">
        <f t="shared" si="2"/>
        <v>53335.545700000002</v>
      </c>
      <c r="D13" t="str">
        <f t="shared" si="3"/>
        <v>vis</v>
      </c>
      <c r="E13">
        <f>VLOOKUP(C13,Active!C$21:E$973,3,FALSE)</f>
        <v>4160.081801339611</v>
      </c>
      <c r="F13" s="6" t="s">
        <v>63</v>
      </c>
      <c r="G13" t="str">
        <f t="shared" si="4"/>
        <v>53335.5457</v>
      </c>
      <c r="H13" s="5">
        <f t="shared" si="5"/>
        <v>1190</v>
      </c>
      <c r="I13" s="19" t="s">
        <v>74</v>
      </c>
      <c r="J13" s="20" t="s">
        <v>75</v>
      </c>
      <c r="K13" s="19">
        <v>1190</v>
      </c>
      <c r="L13" s="19" t="s">
        <v>76</v>
      </c>
      <c r="M13" s="20" t="s">
        <v>67</v>
      </c>
      <c r="N13" s="20" t="s">
        <v>77</v>
      </c>
      <c r="O13" s="21" t="s">
        <v>78</v>
      </c>
      <c r="P13" s="22" t="s">
        <v>79</v>
      </c>
    </row>
    <row r="14" spans="1:16" ht="12.75" customHeight="1" x14ac:dyDescent="0.2">
      <c r="A14" s="5" t="str">
        <f t="shared" si="0"/>
        <v>IBVS 5960 </v>
      </c>
      <c r="B14" s="6" t="str">
        <f t="shared" si="1"/>
        <v>II</v>
      </c>
      <c r="C14" s="5">
        <f t="shared" si="2"/>
        <v>55478.934399999998</v>
      </c>
      <c r="D14" t="str">
        <f t="shared" si="3"/>
        <v>vis</v>
      </c>
      <c r="E14">
        <f>VLOOKUP(C14,Active!C$21:E$973,3,FALSE)</f>
        <v>7214.6474276756462</v>
      </c>
      <c r="F14" s="6" t="s">
        <v>63</v>
      </c>
      <c r="G14" t="str">
        <f t="shared" si="4"/>
        <v>55478.9344</v>
      </c>
      <c r="H14" s="5">
        <f t="shared" si="5"/>
        <v>4244.5</v>
      </c>
      <c r="I14" s="19" t="s">
        <v>80</v>
      </c>
      <c r="J14" s="20" t="s">
        <v>81</v>
      </c>
      <c r="K14" s="19" t="s">
        <v>82</v>
      </c>
      <c r="L14" s="19" t="s">
        <v>83</v>
      </c>
      <c r="M14" s="20" t="s">
        <v>84</v>
      </c>
      <c r="N14" s="20" t="s">
        <v>63</v>
      </c>
      <c r="O14" s="21" t="s">
        <v>85</v>
      </c>
      <c r="P14" s="22" t="s">
        <v>86</v>
      </c>
    </row>
    <row r="15" spans="1:16" ht="12.75" customHeight="1" x14ac:dyDescent="0.2">
      <c r="A15" s="5" t="str">
        <f t="shared" si="0"/>
        <v>IBVS 6011 </v>
      </c>
      <c r="B15" s="6" t="str">
        <f t="shared" si="1"/>
        <v>I</v>
      </c>
      <c r="C15" s="5">
        <f t="shared" si="2"/>
        <v>55844.879200000003</v>
      </c>
      <c r="D15" t="str">
        <f t="shared" si="3"/>
        <v>vis</v>
      </c>
      <c r="E15">
        <f>VLOOKUP(C15,Active!C$21:E$973,3,FALSE)</f>
        <v>7736.1591848368334</v>
      </c>
      <c r="F15" s="6" t="s">
        <v>63</v>
      </c>
      <c r="G15" t="str">
        <f t="shared" si="4"/>
        <v>55844.8792</v>
      </c>
      <c r="H15" s="5">
        <f t="shared" si="5"/>
        <v>4766</v>
      </c>
      <c r="I15" s="19" t="s">
        <v>87</v>
      </c>
      <c r="J15" s="20" t="s">
        <v>88</v>
      </c>
      <c r="K15" s="19" t="s">
        <v>89</v>
      </c>
      <c r="L15" s="19" t="s">
        <v>90</v>
      </c>
      <c r="M15" s="20" t="s">
        <v>84</v>
      </c>
      <c r="N15" s="20" t="s">
        <v>63</v>
      </c>
      <c r="O15" s="21" t="s">
        <v>85</v>
      </c>
      <c r="P15" s="22" t="s">
        <v>91</v>
      </c>
    </row>
    <row r="16" spans="1:16" ht="12.75" customHeight="1" x14ac:dyDescent="0.2">
      <c r="A16" s="5" t="str">
        <f t="shared" si="0"/>
        <v>OEJV 0160 </v>
      </c>
      <c r="B16" s="6" t="str">
        <f t="shared" si="1"/>
        <v>I</v>
      </c>
      <c r="C16" s="5">
        <f t="shared" si="2"/>
        <v>55926.277739999998</v>
      </c>
      <c r="D16" t="str">
        <f t="shared" si="3"/>
        <v>vis</v>
      </c>
      <c r="E16">
        <f>VLOOKUP(C16,Active!C$21:E$973,3,FALSE)</f>
        <v>7852.1610944848235</v>
      </c>
      <c r="F16" s="6" t="s">
        <v>63</v>
      </c>
      <c r="G16" t="str">
        <f t="shared" si="4"/>
        <v>55926.27774</v>
      </c>
      <c r="H16" s="5">
        <f t="shared" si="5"/>
        <v>4882</v>
      </c>
      <c r="I16" s="19" t="s">
        <v>92</v>
      </c>
      <c r="J16" s="20" t="s">
        <v>93</v>
      </c>
      <c r="K16" s="19" t="s">
        <v>94</v>
      </c>
      <c r="L16" s="19" t="s">
        <v>95</v>
      </c>
      <c r="M16" s="20" t="s">
        <v>84</v>
      </c>
      <c r="N16" s="20" t="s">
        <v>58</v>
      </c>
      <c r="O16" s="21" t="s">
        <v>96</v>
      </c>
      <c r="P16" s="22" t="s">
        <v>97</v>
      </c>
    </row>
    <row r="17" spans="1:16" ht="12.75" customHeight="1" x14ac:dyDescent="0.2">
      <c r="A17" s="5" t="str">
        <f t="shared" si="0"/>
        <v>OEJV 0137 </v>
      </c>
      <c r="B17" s="6" t="str">
        <f t="shared" si="1"/>
        <v>II</v>
      </c>
      <c r="C17" s="5">
        <f t="shared" si="2"/>
        <v>55423.501900000003</v>
      </c>
      <c r="D17" t="str">
        <f t="shared" si="3"/>
        <v>vis</v>
      </c>
      <c r="E17" t="e">
        <f>VLOOKUP(C17,Active!C$21:E$973,3,FALSE)</f>
        <v>#N/A</v>
      </c>
      <c r="F17" s="6" t="s">
        <v>63</v>
      </c>
      <c r="G17" t="str">
        <f t="shared" si="4"/>
        <v>55423.5019</v>
      </c>
      <c r="H17" s="5">
        <f t="shared" si="5"/>
        <v>4165.5</v>
      </c>
      <c r="I17" s="19" t="s">
        <v>98</v>
      </c>
      <c r="J17" s="20" t="s">
        <v>99</v>
      </c>
      <c r="K17" s="19" t="s">
        <v>100</v>
      </c>
      <c r="L17" s="19" t="s">
        <v>101</v>
      </c>
      <c r="M17" s="20" t="s">
        <v>84</v>
      </c>
      <c r="N17" s="20" t="s">
        <v>58</v>
      </c>
      <c r="O17" s="21" t="s">
        <v>102</v>
      </c>
      <c r="P17" s="22" t="s">
        <v>103</v>
      </c>
    </row>
  </sheetData>
  <sheetProtection selectLockedCells="1" selectUnlockedCells="1"/>
  <hyperlinks>
    <hyperlink ref="P11" r:id="rId1" xr:uid="{00000000-0004-0000-0100-000000000000}"/>
    <hyperlink ref="P12" r:id="rId2" xr:uid="{00000000-0004-0000-0100-000001000000}"/>
    <hyperlink ref="P13" r:id="rId3" xr:uid="{00000000-0004-0000-0100-000002000000}"/>
    <hyperlink ref="P14" r:id="rId4" xr:uid="{00000000-0004-0000-0100-000003000000}"/>
    <hyperlink ref="P15" r:id="rId5" xr:uid="{00000000-0004-0000-0100-000004000000}"/>
    <hyperlink ref="P16" r:id="rId6" xr:uid="{00000000-0004-0000-0100-000005000000}"/>
    <hyperlink ref="P17" r:id="rId7" xr:uid="{00000000-0004-0000-0100-000006000000}"/>
  </hyperlinks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dcterms:created xsi:type="dcterms:W3CDTF">2023-01-25T04:00:06Z</dcterms:created>
  <dcterms:modified xsi:type="dcterms:W3CDTF">2024-03-09T01:37:42Z</dcterms:modified>
</cp:coreProperties>
</file>