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A8AC933-DD3B-4A4A-BDD5-5B9EF3E409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C21" i="1"/>
  <c r="R22" i="1"/>
  <c r="A21" i="1"/>
  <c r="G11" i="1"/>
  <c r="F11" i="1"/>
  <c r="C7" i="1"/>
  <c r="C8" i="1"/>
  <c r="Q21" i="1"/>
  <c r="E21" i="1"/>
  <c r="F21" i="1"/>
  <c r="G21" i="1"/>
  <c r="C17" i="1"/>
  <c r="H21" i="1"/>
  <c r="C12" i="1"/>
  <c r="F15" i="1" l="1"/>
  <c r="C16" i="1"/>
  <c r="D18" i="1" s="1"/>
  <c r="C11" i="1"/>
  <c r="C15" i="1" l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<sst xmlns="http://schemas.openxmlformats.org/spreadsheetml/2006/main" count="55" uniqueCount="49">
  <si>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</si>
  <si>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</si>
  <si>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</si>
  <si>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</si>
  <si>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</si>
  <si>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</si>
  <si>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</si>
  <si>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</si>
  <si>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</si>
  <si>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</si>
  <si>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</si>
  <si>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</si>
  <si>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</si>
  <si>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</si>
  <si>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</si>
  <si>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</si>
  <si>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</si>
  <si>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</si>
  <si>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</si>
  <si>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</si>
  <si>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</si>
  <si>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</si>
  <si>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</si>
  <si>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</si>
  <si>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</si>
  <si>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</si>
  <si>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</si>
  <si>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</si>
  <si>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</si>
  <si>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</si>
  <si>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</si>
  <si>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</si>
  <si>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</si>
  <si>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</si>
  <si>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</si>
  <si>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G8825-1120_Tuc.xls</t>
  </si>
  <si>
    <t>EA</t>
  </si>
  <si>
    <t>IBVS 5532 Eph.</t>
  </si>
  <si>
    <t>IBVS 5532</t>
  </si>
  <si>
    <t>Tuc</t>
  </si>
  <si>
    <t>EI Tuc / NSV 14164 / GSC 8825-1120</t>
  </si>
  <si>
    <t>CCD</t>
  </si>
  <si>
    <t xml:space="preserve">Mag </t>
  </si>
  <si>
    <t>Add cycle</t>
  </si>
  <si>
    <t>Old Cycle</t>
  </si>
  <si>
    <t>Next ToM-P</t>
  </si>
  <si>
    <t>Next ToM-S</t>
  </si>
  <si>
    <t>VSX</t>
  </si>
  <si>
    <t>9.53-9.97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</si>
</sst>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sz val="16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43">
    <xf numFmtId="0" fontId="0" fillId="0" borderId="0" xfId="0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/>
    <xf numFmtId="0" fontId="5" fillId="0" borderId="0" xfId="0" applyFont="1" applyAlignment="1"/>
    <xf numFmtId="0" fontId="0" fillId="3" borderId="6" xfId="0" applyFill="1" applyBorder="1" applyAlignment="1">
      <alignment horizontal="right" vertical="center"/>
    </xf>
    <xf numFmtId="0" fontId="5" fillId="3" borderId="7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right" vertical="center"/>
    </xf>
    <xf numFmtId="0" fontId="19" fillId="0" borderId="9" xfId="0" applyFont="1" applyBorder="1" applyAlignment="1">
      <alignment vertical="center"/>
    </xf>
    <xf numFmtId="0" fontId="18" fillId="0" borderId="9" xfId="0" applyFont="1" applyBorder="1" applyAlignment="1">
      <alignment horizontal="right" vertical="center"/>
    </xf>
    <xf numFmtId="22" fontId="17" fillId="0" borderId="8" xfId="0" applyNumberFormat="1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  <xf numFmtId="22" fontId="18" fillId="0" borderId="10" xfId="0" applyNumberFormat="1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EI Tuc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46-461A-B4C1-3705F865F3E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46-461A-B4C1-3705F865F3E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46-461A-B4C1-3705F865F3E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46-461A-B4C1-3705F865F3E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A46-461A-B4C1-3705F865F3E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A46-461A-B4C1-3705F865F3E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A46-461A-B4C1-3705F865F3E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A46-461A-B4C1-3705F865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9405088"/>
        <c:axId val="1"/>
      </c:scatterChart>
      <c:valAx>
        <c:axId val="639405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94050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7A28DA3-1874-98BA-AFDB-41DB6A7C61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F4" sqref="F4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57031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32" t="s">
        <v>40</v>
      </c>
      <c r="E1" s="26"/>
      <c r="F1" s="27" t="s">
        <v>35</v>
      </c>
      <c r="G1" s="28" t="s">
        <v>36</v>
      </c>
      <c r="H1" s="29" t="s">
        <v>37</v>
      </c>
      <c r="I1" s="30">
        <v>52770.851999999999</v>
      </c>
      <c r="J1" s="30">
        <v>3.6452300000000002</v>
      </c>
      <c r="K1" s="29" t="s">
        <v>38</v>
      </c>
      <c r="L1" s="31" t="s">
        <v>39</v>
      </c>
    </row>
    <row r="2" spans="1:12">
      <c r="A2" t="s">
        <v>23</v>
      </c>
      <c r="B2" t="s">
        <v>36</v>
      </c>
      <c r="C2" s="8" t="s">
        <v>39</v>
      </c>
      <c r="D2" t="s">
        <v>35</v>
      </c>
    </row>
    <row r="3" spans="1:12" ht="13.5" thickBot="1"/>
    <row r="4" spans="1:12" ht="14.25" thickTop="1" thickBot="1">
      <c r="A4" s="25" t="s">
        <v>37</v>
      </c>
      <c r="C4" s="6">
        <v>52770.851999999999</v>
      </c>
      <c r="D4" s="7">
        <v>3.6452300000000002</v>
      </c>
    </row>
    <row r="6" spans="1:12">
      <c r="A6" s="3" t="s">
        <v>0</v>
      </c>
    </row>
    <row r="7" spans="1:12">
      <c r="A7" t="s">
        <v>1</v>
      </c>
      <c r="C7">
        <f>+C4</f>
        <v>52770.851999999999</v>
      </c>
      <c r="D7" s="33" t="s">
        <v>47</v>
      </c>
    </row>
    <row r="8" spans="1:12">
      <c r="A8" t="s">
        <v>2</v>
      </c>
      <c r="C8">
        <f>+D4</f>
        <v>3.6452300000000002</v>
      </c>
      <c r="D8" s="33" t="s">
        <v>47</v>
      </c>
    </row>
    <row r="9" spans="1:12">
      <c r="A9" s="9" t="s">
        <v>30</v>
      </c>
      <c r="B9" s="10"/>
      <c r="C9" s="11">
        <v>-9.5</v>
      </c>
      <c r="D9" s="10" t="s">
        <v>31</v>
      </c>
      <c r="E9" s="10"/>
    </row>
    <row r="10" spans="1:12" ht="13.5" thickBot="1">
      <c r="A10" s="10"/>
      <c r="B10" s="10"/>
      <c r="C10" s="2" t="s">
        <v>19</v>
      </c>
      <c r="D10" s="2" t="s">
        <v>20</v>
      </c>
      <c r="E10" s="10"/>
    </row>
    <row r="11" spans="1:12">
      <c r="A11" s="10" t="s">
        <v>14</v>
      </c>
      <c r="B11" s="10"/>
      <c r="C11" s="20" t="e">
        <f ca="1">INTERCEPT(INDIRECT($G$11):G992,INDIRECT($F$11):F992)</f>
        <v>#DIV/0!</v>
      </c>
      <c r="D11" s="12"/>
      <c r="E11" s="10"/>
      <c r="F11" s="21" t="str">
        <f>"F"&amp;E19</f>
        <v>F21</v>
      </c>
      <c r="G11" s="22" t="str">
        <f>"G"&amp;E19</f>
        <v>G21</v>
      </c>
    </row>
    <row r="12" spans="1:12">
      <c r="A12" s="10" t="s">
        <v>15</v>
      </c>
      <c r="B12" s="10"/>
      <c r="C12" s="20" t="e">
        <f ca="1">SLOPE(INDIRECT($G$11):G992,INDIRECT($F$11):F992)</f>
        <v>#DIV/0!</v>
      </c>
      <c r="D12" s="12"/>
      <c r="E12" s="34" t="s">
        <v>42</v>
      </c>
      <c r="F12" s="35" t="s">
        <v>48</v>
      </c>
    </row>
    <row r="13" spans="1:12">
      <c r="A13" s="10" t="s">
        <v>18</v>
      </c>
      <c r="B13" s="10"/>
      <c r="C13" s="12" t="s">
        <v>12</v>
      </c>
      <c r="D13" s="12"/>
      <c r="E13" s="36" t="s">
        <v>43</v>
      </c>
      <c r="F13" s="37">
        <v>1</v>
      </c>
    </row>
    <row r="14" spans="1:12">
      <c r="A14" s="10"/>
      <c r="B14" s="10"/>
      <c r="C14" s="10"/>
      <c r="D14" s="10"/>
      <c r="E14" s="36" t="s">
        <v>32</v>
      </c>
      <c r="F14" s="38">
        <f ca="1">NOW()+15018.5+$C$9/24</f>
        <v>60520.849838541668</v>
      </c>
    </row>
    <row r="15" spans="1:12">
      <c r="A15" s="13" t="s">
        <v>16</v>
      </c>
      <c r="B15" s="10"/>
      <c r="C15" s="14" t="e">
        <f ca="1">(C7+C11)+(C8+C12)*INT(MAX(F21:F3533))</f>
        <v>#DIV/0!</v>
      </c>
      <c r="D15" s="15"/>
      <c r="E15" s="36" t="s">
        <v>44</v>
      </c>
      <c r="F15" s="38">
        <f ca="1">ROUND(2*($F$14-$C$7)/$C$8,0)/2+$F$13</f>
        <v>2127</v>
      </c>
    </row>
    <row r="16" spans="1:12">
      <c r="A16" s="16" t="s">
        <v>3</v>
      </c>
      <c r="B16" s="10"/>
      <c r="C16" s="17" t="e">
        <f ca="1">+C8+C12</f>
        <v>#DIV/0!</v>
      </c>
      <c r="D16" s="15"/>
      <c r="E16" s="36" t="s">
        <v>33</v>
      </c>
      <c r="F16" s="38" t="e">
        <f ca="1">ROUND(2*($F$14-$C$15)/$C$16,0)/2+$F$13</f>
        <v>#DIV/0!</v>
      </c>
    </row>
    <row r="17" spans="1:18" ht="13.5" thickBot="1">
      <c r="A17" s="15" t="s">
        <v>29</v>
      </c>
      <c r="B17" s="10"/>
      <c r="C17" s="10">
        <f>COUNT(C21:C2191)</f>
        <v>1</v>
      </c>
      <c r="D17" s="15"/>
      <c r="E17" s="39" t="s">
        <v>45</v>
      </c>
      <c r="F17" s="40" t="e">
        <f ca="1">+$C$15+$C$16*$F$16-15018.5-$C$9/24</f>
        <v>#DIV/0!</v>
      </c>
    </row>
    <row r="18" spans="1:18" ht="14.25" thickTop="1" thickBot="1">
      <c r="A18" s="16" t="s">
        <v>4</v>
      </c>
      <c r="B18" s="10"/>
      <c r="C18" s="18" t="e">
        <f ca="1">+C15</f>
        <v>#DIV/0!</v>
      </c>
      <c r="D18" s="19" t="e">
        <f ca="1">+C16</f>
        <v>#DIV/0!</v>
      </c>
      <c r="E18" s="42" t="s">
        <v>46</v>
      </c>
      <c r="F18" s="41" t="e">
        <f ca="1">+($C$15+$C$16*$F$16)-($C$16/2)-15018.5-$C$9/24</f>
        <v>#DIV/0!</v>
      </c>
    </row>
    <row r="19" spans="1:18" ht="13.5" thickTop="1">
      <c r="A19" s="23" t="s">
        <v>34</v>
      </c>
      <c r="E19" s="24">
        <v>21</v>
      </c>
    </row>
    <row r="20" spans="1:18" ht="13.5" thickBot="1">
      <c r="A20" s="2" t="s">
        <v>5</v>
      </c>
      <c r="B20" s="2" t="s">
        <v>6</v>
      </c>
      <c r="C20" s="2" t="s">
        <v>7</v>
      </c>
      <c r="D20" s="2" t="s">
        <v>11</v>
      </c>
      <c r="E20" s="2" t="s">
        <v>8</v>
      </c>
      <c r="F20" s="2" t="s">
        <v>9</v>
      </c>
      <c r="G20" s="2" t="s">
        <v>10</v>
      </c>
      <c r="H20" s="5" t="s">
        <v>28</v>
      </c>
      <c r="I20" s="5" t="s">
        <v>41</v>
      </c>
      <c r="J20" s="5" t="s">
        <v>17</v>
      </c>
      <c r="K20" s="5" t="s">
        <v>24</v>
      </c>
      <c r="L20" s="5" t="s">
        <v>25</v>
      </c>
      <c r="M20" s="5" t="s">
        <v>26</v>
      </c>
      <c r="N20" s="5" t="s">
        <v>27</v>
      </c>
      <c r="O20" s="5" t="s">
        <v>22</v>
      </c>
      <c r="P20" s="4" t="s">
        <v>21</v>
      </c>
      <c r="Q20" s="2" t="s">
        <v>13</v>
      </c>
    </row>
    <row r="21" spans="1:18">
      <c r="A21" t="str">
        <f>$K$1</f>
        <v>IBVS 5532</v>
      </c>
      <c r="C21" s="8">
        <f>+$C$4</f>
        <v>52770.851999999999</v>
      </c>
      <c r="D21" s="8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1">
        <f>+C21-15018.5</f>
        <v>37752.351999999999</v>
      </c>
    </row>
    <row r="22" spans="1:18">
      <c r="C22" s="8"/>
      <c r="D22" s="8"/>
      <c r="Q22" s="1"/>
      <c r="R22" t="str">
        <f>IF(ABS(C22-C21)&lt;0.00001,1,"")</f>
        <v/>
      </c>
    </row>
    <row r="23" spans="1:18">
      <c r="C23" s="8"/>
      <c r="D23" s="8"/>
      <c r="Q23" s="1"/>
    </row>
    <row r="24" spans="1:18">
      <c r="Q24" s="1"/>
    </row>
    <row r="25" spans="1:18">
      <c r="C25" s="8"/>
      <c r="D25" s="8"/>
      <c r="Q25" s="1"/>
    </row>
    <row r="26" spans="1:18">
      <c r="C26" s="8"/>
      <c r="D26" s="8"/>
      <c r="Q26" s="1"/>
    </row>
    <row r="27" spans="1:18">
      <c r="C27" s="8"/>
      <c r="D27" s="8"/>
      <c r="Q27" s="1"/>
    </row>
    <row r="28" spans="1:18">
      <c r="C28" s="8"/>
      <c r="D28" s="8"/>
      <c r="Q28" s="1"/>
    </row>
    <row r="29" spans="1:18">
      <c r="C29" s="8"/>
      <c r="D29" s="8"/>
      <c r="Q29" s="1"/>
    </row>
    <row r="30" spans="1:18">
      <c r="C30" s="8"/>
      <c r="D30" s="8"/>
      <c r="Q30" s="1"/>
    </row>
    <row r="31" spans="1:18">
      <c r="C31" s="8"/>
      <c r="D31" s="8"/>
      <c r="Q31" s="1"/>
    </row>
    <row r="32" spans="1:18">
      <c r="C32" s="8"/>
      <c r="D32" s="8"/>
      <c r="Q32" s="1"/>
    </row>
    <row r="33" spans="3:17">
      <c r="C33" s="8"/>
      <c r="D33" s="8"/>
      <c r="Q33" s="1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2024-07-29T08:23:46Z</dcterms:modified>
</cp:coreProperties>
</file>