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FF951FB-F486-4CEA-B332-1F37BD97D7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F11" i="1"/>
  <c r="G11" i="1"/>
  <c r="E14" i="1"/>
  <c r="C17" i="1"/>
  <c r="A21" i="1"/>
  <c r="C21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C11" i="1"/>
  <c r="E15" i="1" l="1"/>
  <c r="C12" i="1"/>
  <c r="C16" i="1" l="1"/>
  <c r="D18" i="1" s="1"/>
  <c r="O24" i="1"/>
  <c r="O25" i="1"/>
  <c r="O26" i="1"/>
  <c r="O31" i="1"/>
  <c r="O22" i="1"/>
  <c r="O29" i="1"/>
  <c r="O27" i="1"/>
  <c r="O28" i="1"/>
  <c r="O21" i="1"/>
  <c r="C15" i="1"/>
  <c r="O23" i="1"/>
  <c r="O30" i="1"/>
  <c r="C18" i="1" l="1"/>
  <c r="E16" i="1"/>
  <c r="E17" i="1" s="1"/>
</calcChain>
</file>

<file path=xl/sharedStrings.xml><?xml version="1.0" encoding="utf-8"?>
<sst xmlns="http://schemas.openxmlformats.org/spreadsheetml/2006/main" count="70" uniqueCount="54">
  <si>
    <t>GZ UMa / GSC 4151-0933</t>
  </si>
  <si>
    <t>UMa_GZ.xls</t>
  </si>
  <si>
    <t>EA</t>
  </si>
  <si>
    <t>IBVS 5557 Eph.</t>
  </si>
  <si>
    <t>IBVS 5557</t>
  </si>
  <si>
    <t>UMa</t>
  </si>
  <si>
    <t>System Type: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</si>
  <si>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</si>
  <si>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</si>
  <si>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</si>
  <si>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</si>
  <si>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</si>
  <si>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</si>
  <si>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</si>
  <si>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</si>
  <si>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</si>
  <si>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</si>
  <si>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</si>
  <si>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</si>
  <si>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</si>
  <si>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</si>
  <si>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</si>
  <si>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</si>
  <si>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</si>
  <si>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</si>
  <si>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</si>
  <si>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</si>
  <si>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</si>
  <si>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</si>
  <si>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</si>
  <si>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</si>
  <si>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</si>
  <si>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</si>
  <si>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</si>
  <si>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</si>
  <si>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</si>
  <si>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</si>
  <si>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</si>
  <si>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</si>
  <si>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</si>
  <si>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</si>
  <si>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</si>
  <si>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</si>
  <si>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</si>
  <si>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</si>
  <si>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t>OEJV 0147</t>
  </si>
  <si>
    <t>I</t>
  </si>
  <si>
    <t>II</t>
  </si>
  <si>
    <t>OEJV 0137</t>
  </si>
  <si>
    <t>OEJV 0160</t>
  </si>
  <si>
    <t>OEJV 0165</t>
  </si>
  <si>
    <t>OEJV 0172</t>
  </si>
  <si>
    <t>OEJV 0211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</si>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</sst>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0.000"/>
    <numFmt numFmtId="169" formatCode="d/mm/yyyy;@"/>
  </numFmts>
  <fonts count="12" x14ac:knownFonts="1">
    <font>
      <sz val="10"/>
      <name val="Arial"/>
      <family val="2"/>
    </font>
    <font>
      <sz val="16"/>
      <name val="Arial"/>
      <family val="2"/>
    </font>
    <font>
      <b/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</cellStyleXfs>
  <cellXfs count="3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67" fontId="9" fillId="0" borderId="0" xfId="0" applyNumberFormat="1" applyFont="1" applyFill="1" applyBorder="1" applyAlignment="1" applyProtection="1">
      <alignment horizontal="lef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UMa - O-C Diagr.</a:t>
            </a:r>
          </a:p>
        </c:rich>
      </c:tx>
      <c:layout>
        <c:manualLayout>
          <c:xMode val="edge"/>
          <c:yMode val="edge"/>
          <c:x val="0.377414873660851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8737739506184"/>
          <c:y val="0.14414477469595582"/>
          <c:w val="0.81872276366642882"/>
          <c:h val="0.6396412160191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359</c:v>
                </c:pt>
                <c:pt idx="2">
                  <c:v>381.5</c:v>
                </c:pt>
                <c:pt idx="3">
                  <c:v>566</c:v>
                </c:pt>
                <c:pt idx="4">
                  <c:v>713</c:v>
                </c:pt>
                <c:pt idx="5">
                  <c:v>713</c:v>
                </c:pt>
                <c:pt idx="6">
                  <c:v>836</c:v>
                </c:pt>
                <c:pt idx="7">
                  <c:v>836</c:v>
                </c:pt>
                <c:pt idx="8">
                  <c:v>836.5</c:v>
                </c:pt>
                <c:pt idx="9">
                  <c:v>836.5</c:v>
                </c:pt>
                <c:pt idx="10">
                  <c:v>1003</c:v>
                </c:pt>
              </c:numCache>
            </c:numRef>
          </c:xVal>
          <c:yVal>
            <c:numRef>
              <c:f>Active!$H$21:$H$310</c:f>
              <c:numCache>
                <c:formatCode>General</c:formatCode>
                <c:ptCount val="29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E-434D-9A1F-DBF0A912353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359</c:v>
                </c:pt>
                <c:pt idx="2">
                  <c:v>381.5</c:v>
                </c:pt>
                <c:pt idx="3">
                  <c:v>566</c:v>
                </c:pt>
                <c:pt idx="4">
                  <c:v>713</c:v>
                </c:pt>
                <c:pt idx="5">
                  <c:v>713</c:v>
                </c:pt>
                <c:pt idx="6">
                  <c:v>836</c:v>
                </c:pt>
                <c:pt idx="7">
                  <c:v>836</c:v>
                </c:pt>
                <c:pt idx="8">
                  <c:v>836.5</c:v>
                </c:pt>
                <c:pt idx="9">
                  <c:v>836.5</c:v>
                </c:pt>
                <c:pt idx="10">
                  <c:v>1003</c:v>
                </c:pt>
              </c:numCache>
            </c:numRef>
          </c:xVal>
          <c:yVal>
            <c:numRef>
              <c:f>Active!$I$21:$I$310</c:f>
              <c:numCache>
                <c:formatCode>General</c:formatCode>
                <c:ptCount val="290"/>
                <c:pt idx="1">
                  <c:v>9.9999999656574801E-4</c:v>
                </c:pt>
                <c:pt idx="2">
                  <c:v>-1.8000000003667083E-2</c:v>
                </c:pt>
                <c:pt idx="3">
                  <c:v>-1.3919999997597188E-2</c:v>
                </c:pt>
                <c:pt idx="4">
                  <c:v>-1.5039999998407438E-2</c:v>
                </c:pt>
                <c:pt idx="5">
                  <c:v>-1.6709999996237457E-2</c:v>
                </c:pt>
                <c:pt idx="6">
                  <c:v>-1.9000000000232831E-2</c:v>
                </c:pt>
                <c:pt idx="7">
                  <c:v>-1.9000000000232831E-2</c:v>
                </c:pt>
                <c:pt idx="8">
                  <c:v>-2.200000000448199E-2</c:v>
                </c:pt>
                <c:pt idx="9">
                  <c:v>-1.8000000003667083E-2</c:v>
                </c:pt>
                <c:pt idx="10">
                  <c:v>-1.8260000040754676E-2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EE-434D-9A1F-DBF0A912353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359</c:v>
                </c:pt>
                <c:pt idx="2">
                  <c:v>381.5</c:v>
                </c:pt>
                <c:pt idx="3">
                  <c:v>566</c:v>
                </c:pt>
                <c:pt idx="4">
                  <c:v>713</c:v>
                </c:pt>
                <c:pt idx="5">
                  <c:v>713</c:v>
                </c:pt>
                <c:pt idx="6">
                  <c:v>836</c:v>
                </c:pt>
                <c:pt idx="7">
                  <c:v>836</c:v>
                </c:pt>
                <c:pt idx="8">
                  <c:v>836.5</c:v>
                </c:pt>
                <c:pt idx="9">
                  <c:v>836.5</c:v>
                </c:pt>
                <c:pt idx="10">
                  <c:v>1003</c:v>
                </c:pt>
              </c:numCache>
            </c:numRef>
          </c:xVal>
          <c:yVal>
            <c:numRef>
              <c:f>Active!$J$21:$J$310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EE-434D-9A1F-DBF0A912353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359</c:v>
                </c:pt>
                <c:pt idx="2">
                  <c:v>381.5</c:v>
                </c:pt>
                <c:pt idx="3">
                  <c:v>566</c:v>
                </c:pt>
                <c:pt idx="4">
                  <c:v>713</c:v>
                </c:pt>
                <c:pt idx="5">
                  <c:v>713</c:v>
                </c:pt>
                <c:pt idx="6">
                  <c:v>836</c:v>
                </c:pt>
                <c:pt idx="7">
                  <c:v>836</c:v>
                </c:pt>
                <c:pt idx="8">
                  <c:v>836.5</c:v>
                </c:pt>
                <c:pt idx="9">
                  <c:v>836.5</c:v>
                </c:pt>
                <c:pt idx="10">
                  <c:v>1003</c:v>
                </c:pt>
              </c:numCache>
            </c:numRef>
          </c:xVal>
          <c:yVal>
            <c:numRef>
              <c:f>Active!$K$21:$K$310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EE-434D-9A1F-DBF0A912353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359</c:v>
                </c:pt>
                <c:pt idx="2">
                  <c:v>381.5</c:v>
                </c:pt>
                <c:pt idx="3">
                  <c:v>566</c:v>
                </c:pt>
                <c:pt idx="4">
                  <c:v>713</c:v>
                </c:pt>
                <c:pt idx="5">
                  <c:v>713</c:v>
                </c:pt>
                <c:pt idx="6">
                  <c:v>836</c:v>
                </c:pt>
                <c:pt idx="7">
                  <c:v>836</c:v>
                </c:pt>
                <c:pt idx="8">
                  <c:v>836.5</c:v>
                </c:pt>
                <c:pt idx="9">
                  <c:v>836.5</c:v>
                </c:pt>
                <c:pt idx="10">
                  <c:v>1003</c:v>
                </c:pt>
              </c:numCache>
            </c:numRef>
          </c:xVal>
          <c:yVal>
            <c:numRef>
              <c:f>Active!$L$21:$L$310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EE-434D-9A1F-DBF0A91235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359</c:v>
                </c:pt>
                <c:pt idx="2">
                  <c:v>381.5</c:v>
                </c:pt>
                <c:pt idx="3">
                  <c:v>566</c:v>
                </c:pt>
                <c:pt idx="4">
                  <c:v>713</c:v>
                </c:pt>
                <c:pt idx="5">
                  <c:v>713</c:v>
                </c:pt>
                <c:pt idx="6">
                  <c:v>836</c:v>
                </c:pt>
                <c:pt idx="7">
                  <c:v>836</c:v>
                </c:pt>
                <c:pt idx="8">
                  <c:v>836.5</c:v>
                </c:pt>
                <c:pt idx="9">
                  <c:v>836.5</c:v>
                </c:pt>
                <c:pt idx="10">
                  <c:v>1003</c:v>
                </c:pt>
              </c:numCache>
            </c:numRef>
          </c:xVal>
          <c:yVal>
            <c:numRef>
              <c:f>Active!$M$21:$M$310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EE-434D-9A1F-DBF0A91235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359</c:v>
                </c:pt>
                <c:pt idx="2">
                  <c:v>381.5</c:v>
                </c:pt>
                <c:pt idx="3">
                  <c:v>566</c:v>
                </c:pt>
                <c:pt idx="4">
                  <c:v>713</c:v>
                </c:pt>
                <c:pt idx="5">
                  <c:v>713</c:v>
                </c:pt>
                <c:pt idx="6">
                  <c:v>836</c:v>
                </c:pt>
                <c:pt idx="7">
                  <c:v>836</c:v>
                </c:pt>
                <c:pt idx="8">
                  <c:v>836.5</c:v>
                </c:pt>
                <c:pt idx="9">
                  <c:v>836.5</c:v>
                </c:pt>
                <c:pt idx="10">
                  <c:v>1003</c:v>
                </c:pt>
              </c:numCache>
            </c:numRef>
          </c:xVal>
          <c:yVal>
            <c:numRef>
              <c:f>Active!$N$21:$N$310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EE-434D-9A1F-DBF0A91235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359</c:v>
                </c:pt>
                <c:pt idx="2">
                  <c:v>381.5</c:v>
                </c:pt>
                <c:pt idx="3">
                  <c:v>566</c:v>
                </c:pt>
                <c:pt idx="4">
                  <c:v>713</c:v>
                </c:pt>
                <c:pt idx="5">
                  <c:v>713</c:v>
                </c:pt>
                <c:pt idx="6">
                  <c:v>836</c:v>
                </c:pt>
                <c:pt idx="7">
                  <c:v>836</c:v>
                </c:pt>
                <c:pt idx="8">
                  <c:v>836.5</c:v>
                </c:pt>
                <c:pt idx="9">
                  <c:v>836.5</c:v>
                </c:pt>
                <c:pt idx="10">
                  <c:v>1003</c:v>
                </c:pt>
              </c:numCache>
            </c:numRef>
          </c:xVal>
          <c:yVal>
            <c:numRef>
              <c:f>Active!$O$21:$O$310</c:f>
              <c:numCache>
                <c:formatCode>General</c:formatCode>
                <c:ptCount val="290"/>
                <c:pt idx="0">
                  <c:v>-7.3124548859197606E-4</c:v>
                </c:pt>
                <c:pt idx="1">
                  <c:v>-8.3815783157988391E-3</c:v>
                </c:pt>
                <c:pt idx="2">
                  <c:v>-8.8610559999552588E-3</c:v>
                </c:pt>
                <c:pt idx="3">
                  <c:v>-1.2792773010037894E-2</c:v>
                </c:pt>
                <c:pt idx="4">
                  <c:v>-1.5925360546526497E-2</c:v>
                </c:pt>
                <c:pt idx="5">
                  <c:v>-1.5925360546526497E-2</c:v>
                </c:pt>
                <c:pt idx="6">
                  <c:v>-1.8546505219914924E-2</c:v>
                </c:pt>
                <c:pt idx="7">
                  <c:v>-1.8546505219914924E-2</c:v>
                </c:pt>
                <c:pt idx="8">
                  <c:v>-1.8557160279562841E-2</c:v>
                </c:pt>
                <c:pt idx="9">
                  <c:v>-1.8557160279562841E-2</c:v>
                </c:pt>
                <c:pt idx="10">
                  <c:v>-2.2105295142320347E-2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EE-434D-9A1F-DBF0A9123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55016"/>
        <c:axId val="1"/>
      </c:scatterChart>
      <c:valAx>
        <c:axId val="607255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255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31219165954925"/>
          <c:y val="0.91591875339906836"/>
          <c:w val="0.6478459360484842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1BC7D9-9527-DE70-68C3-1F4D1AFF6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5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s="2" customFormat="1" ht="20.25" x14ac:dyDescent="0.2">
      <c r="A1" s="36" t="s">
        <v>0</v>
      </c>
      <c r="F1" s="2" t="s">
        <v>1</v>
      </c>
      <c r="G1" s="3" t="s">
        <v>2</v>
      </c>
      <c r="H1" s="4" t="s">
        <v>3</v>
      </c>
      <c r="I1" s="3">
        <v>51556.83</v>
      </c>
      <c r="J1" s="3">
        <v>6.5419999999999998</v>
      </c>
      <c r="K1" s="3" t="s">
        <v>4</v>
      </c>
      <c r="L1" s="3" t="s">
        <v>5</v>
      </c>
    </row>
    <row r="2" spans="1:12" s="2" customFormat="1" ht="12.75" customHeight="1" x14ac:dyDescent="0.2">
      <c r="A2" s="2" t="s">
        <v>6</v>
      </c>
      <c r="B2" s="2" t="s">
        <v>2</v>
      </c>
      <c r="D2" s="3" t="s">
        <v>5</v>
      </c>
      <c r="E2" s="2" t="s">
        <v>1</v>
      </c>
    </row>
    <row r="3" spans="1:12" s="2" customFormat="1" ht="12.75" customHeight="1" x14ac:dyDescent="0.2"/>
    <row r="4" spans="1:12" s="2" customFormat="1" ht="12.75" customHeight="1" x14ac:dyDescent="0.2">
      <c r="A4" s="4" t="s">
        <v>3</v>
      </c>
      <c r="C4" s="5">
        <v>51556.83</v>
      </c>
      <c r="D4" s="6">
        <v>6.5419999999999998</v>
      </c>
    </row>
    <row r="5" spans="1:12" s="2" customFormat="1" ht="12.75" customHeight="1" x14ac:dyDescent="0.2"/>
    <row r="6" spans="1:12" s="2" customFormat="1" ht="12.75" customHeight="1" x14ac:dyDescent="0.2">
      <c r="A6" s="7" t="s">
        <v>7</v>
      </c>
    </row>
    <row r="7" spans="1:12" s="2" customFormat="1" ht="12.75" customHeight="1" x14ac:dyDescent="0.2">
      <c r="A7" s="2" t="s">
        <v>8</v>
      </c>
      <c r="C7" s="2">
        <f>+C4</f>
        <v>51556.83</v>
      </c>
    </row>
    <row r="8" spans="1:12" s="2" customFormat="1" ht="12.75" customHeight="1" x14ac:dyDescent="0.2">
      <c r="A8" s="2" t="s">
        <v>9</v>
      </c>
      <c r="C8" s="2">
        <f>+D4</f>
        <v>6.5419999999999998</v>
      </c>
    </row>
    <row r="9" spans="1:12" s="2" customFormat="1" ht="12.75" customHeight="1" x14ac:dyDescent="0.2">
      <c r="A9" s="4" t="s">
        <v>10</v>
      </c>
      <c r="C9" s="8">
        <v>-9.5</v>
      </c>
      <c r="D9" s="2" t="s">
        <v>11</v>
      </c>
    </row>
    <row r="10" spans="1:12" s="2" customFormat="1" ht="12.75" customHeight="1" x14ac:dyDescent="0.2">
      <c r="C10" s="9" t="s">
        <v>12</v>
      </c>
      <c r="D10" s="9" t="s">
        <v>13</v>
      </c>
    </row>
    <row r="11" spans="1:12" s="2" customFormat="1" ht="12.75" customHeight="1" x14ac:dyDescent="0.2">
      <c r="A11" s="2" t="s">
        <v>14</v>
      </c>
      <c r="C11" s="10">
        <f ca="1">INTERCEPT(INDIRECT($G$11):G992,INDIRECT($F$11):F992)</f>
        <v>-7.3124548859197606E-4</v>
      </c>
      <c r="D11" s="11"/>
      <c r="F11" s="12" t="str">
        <f>"F"&amp;E19</f>
        <v>F21</v>
      </c>
      <c r="G11" s="10" t="str">
        <f>"G"&amp;E19</f>
        <v>G21</v>
      </c>
    </row>
    <row r="12" spans="1:12" s="2" customFormat="1" ht="12.75" customHeight="1" x14ac:dyDescent="0.2">
      <c r="A12" s="2" t="s">
        <v>15</v>
      </c>
      <c r="C12" s="10">
        <f ca="1">SLOPE(INDIRECT($G$11):G992,INDIRECT($F$11):F992)</f>
        <v>-2.1310119295840846E-5</v>
      </c>
      <c r="D12" s="11"/>
    </row>
    <row r="13" spans="1:12" s="2" customFormat="1" ht="12.75" customHeight="1" x14ac:dyDescent="0.2">
      <c r="A13" s="2" t="s">
        <v>16</v>
      </c>
      <c r="C13" s="11" t="s">
        <v>17</v>
      </c>
      <c r="D13" s="13" t="s">
        <v>18</v>
      </c>
      <c r="E13" s="8">
        <v>1</v>
      </c>
    </row>
    <row r="14" spans="1:12" s="2" customFormat="1" ht="12.75" customHeight="1" x14ac:dyDescent="0.2">
      <c r="D14" s="13" t="s">
        <v>19</v>
      </c>
      <c r="E14" s="10">
        <f ca="1">NOW()+15018.5+$C$9/24</f>
        <v>60378.695853935184</v>
      </c>
    </row>
    <row r="15" spans="1:12" s="2" customFormat="1" ht="12.75" customHeight="1" x14ac:dyDescent="0.2">
      <c r="A15" s="7" t="s">
        <v>20</v>
      </c>
      <c r="C15" s="14">
        <f ca="1">(C7+C11)+(C8+C12)*INT(MAX(F21:F3533))</f>
        <v>58118.43389470486</v>
      </c>
      <c r="D15" s="13" t="s">
        <v>21</v>
      </c>
      <c r="E15" s="10">
        <f ca="1">ROUND(2*(E14-$C$7)/$C$8,0)/2+E13</f>
        <v>1349.5</v>
      </c>
    </row>
    <row r="16" spans="1:12" s="2" customFormat="1" ht="12.75" customHeight="1" x14ac:dyDescent="0.2">
      <c r="A16" s="7" t="s">
        <v>22</v>
      </c>
      <c r="C16" s="14">
        <f ca="1">+C8+C12</f>
        <v>6.541978689880704</v>
      </c>
      <c r="D16" s="13" t="s">
        <v>23</v>
      </c>
      <c r="E16" s="10">
        <f ca="1">ROUND(2*(E14-$C$15)/$C$16,0)/2+E13</f>
        <v>346.5</v>
      </c>
    </row>
    <row r="17" spans="1:17" s="2" customFormat="1" ht="12.75" customHeight="1" x14ac:dyDescent="0.2">
      <c r="A17" s="13" t="s">
        <v>24</v>
      </c>
      <c r="C17" s="2">
        <f>COUNT(C21:C2191)</f>
        <v>11</v>
      </c>
      <c r="D17" s="13" t="s">
        <v>25</v>
      </c>
      <c r="E17" s="15">
        <f ca="1">+$C$15+$C$16*E16-15018.5-$C$9/24</f>
        <v>45367.125344081862</v>
      </c>
    </row>
    <row r="18" spans="1:17" s="2" customFormat="1" ht="12.75" customHeight="1" x14ac:dyDescent="0.2">
      <c r="A18" s="7" t="s">
        <v>26</v>
      </c>
      <c r="C18" s="16">
        <f ca="1">+C15</f>
        <v>58118.43389470486</v>
      </c>
      <c r="D18" s="17">
        <f ca="1">+C16</f>
        <v>6.541978689880704</v>
      </c>
      <c r="E18" s="18" t="s">
        <v>27</v>
      </c>
    </row>
    <row r="19" spans="1:17" s="2" customFormat="1" ht="12.75" customHeight="1" x14ac:dyDescent="0.2">
      <c r="A19" s="13" t="s">
        <v>28</v>
      </c>
      <c r="E19" s="19">
        <v>21</v>
      </c>
    </row>
    <row r="20" spans="1:17" s="2" customFormat="1" ht="12.75" customHeight="1" x14ac:dyDescent="0.2">
      <c r="A20" s="9" t="s">
        <v>29</v>
      </c>
      <c r="B20" s="9" t="s">
        <v>30</v>
      </c>
      <c r="C20" s="9" t="s">
        <v>31</v>
      </c>
      <c r="D20" s="9" t="s">
        <v>32</v>
      </c>
      <c r="E20" s="9" t="s">
        <v>33</v>
      </c>
      <c r="F20" s="9" t="s">
        <v>34</v>
      </c>
      <c r="G20" s="9" t="s">
        <v>35</v>
      </c>
      <c r="H20" s="20" t="s">
        <v>36</v>
      </c>
      <c r="I20" s="20" t="s">
        <v>53</v>
      </c>
      <c r="J20" s="20" t="s">
        <v>37</v>
      </c>
      <c r="K20" s="20" t="s">
        <v>38</v>
      </c>
      <c r="L20" s="20" t="s">
        <v>39</v>
      </c>
      <c r="M20" s="20" t="s">
        <v>40</v>
      </c>
      <c r="N20" s="20" t="s">
        <v>41</v>
      </c>
      <c r="O20" s="20" t="s">
        <v>42</v>
      </c>
      <c r="P20" s="20" t="s">
        <v>43</v>
      </c>
      <c r="Q20" s="9" t="s">
        <v>44</v>
      </c>
    </row>
    <row r="21" spans="1:17" s="2" customFormat="1" ht="12.75" customHeight="1" x14ac:dyDescent="0.2">
      <c r="A21" s="21" t="str">
        <f>$K$1</f>
        <v>IBVS 5557</v>
      </c>
      <c r="B21" s="21"/>
      <c r="C21" s="22">
        <f>+$C$4</f>
        <v>51556.83</v>
      </c>
      <c r="D21" s="22" t="s">
        <v>17</v>
      </c>
      <c r="E21" s="2">
        <f t="shared" ref="E21:E30" si="0">+(C21-C$7)/C$8</f>
        <v>0</v>
      </c>
      <c r="F21" s="2">
        <f t="shared" ref="F21:F31" si="1">ROUND(2*E21,0)/2</f>
        <v>0</v>
      </c>
      <c r="G21" s="2">
        <f t="shared" ref="G21:G30" si="2">+C21-(C$7+F21*C$8)</f>
        <v>0</v>
      </c>
      <c r="H21" s="2">
        <f>+G21</f>
        <v>0</v>
      </c>
      <c r="O21" s="2">
        <f t="shared" ref="O21:O30" ca="1" si="3">+C$11+C$12*$F21</f>
        <v>-7.3124548859197606E-4</v>
      </c>
      <c r="Q21" s="23">
        <f t="shared" ref="Q21:Q30" si="4">+C21-15018.5</f>
        <v>36538.33</v>
      </c>
    </row>
    <row r="22" spans="1:17" s="2" customFormat="1" ht="12.75" customHeight="1" x14ac:dyDescent="0.2">
      <c r="A22" s="21" t="s">
        <v>45</v>
      </c>
      <c r="B22" s="24" t="s">
        <v>46</v>
      </c>
      <c r="C22" s="22">
        <v>53905.409</v>
      </c>
      <c r="D22" s="22">
        <v>0.01</v>
      </c>
      <c r="E22" s="2">
        <f t="shared" si="0"/>
        <v>359.00015285845274</v>
      </c>
      <c r="F22" s="2">
        <f t="shared" si="1"/>
        <v>359</v>
      </c>
      <c r="G22" s="2">
        <f t="shared" si="2"/>
        <v>9.9999999656574801E-4</v>
      </c>
      <c r="I22" s="2">
        <f t="shared" ref="I22:I30" si="5">+G22</f>
        <v>9.9999999656574801E-4</v>
      </c>
      <c r="O22" s="2">
        <f t="shared" ca="1" si="3"/>
        <v>-8.3815783157988391E-3</v>
      </c>
      <c r="Q22" s="23">
        <f t="shared" si="4"/>
        <v>38886.909</v>
      </c>
    </row>
    <row r="23" spans="1:17" s="2" customFormat="1" ht="12.75" customHeight="1" x14ac:dyDescent="0.2">
      <c r="A23" s="21" t="s">
        <v>45</v>
      </c>
      <c r="B23" s="24" t="s">
        <v>47</v>
      </c>
      <c r="C23" s="22">
        <v>54052.584999999999</v>
      </c>
      <c r="D23" s="22">
        <v>0.01</v>
      </c>
      <c r="E23" s="2">
        <f t="shared" si="0"/>
        <v>381.49724854784432</v>
      </c>
      <c r="F23" s="2">
        <f t="shared" si="1"/>
        <v>381.5</v>
      </c>
      <c r="G23" s="2">
        <f t="shared" si="2"/>
        <v>-1.8000000003667083E-2</v>
      </c>
      <c r="I23" s="2">
        <f t="shared" si="5"/>
        <v>-1.8000000003667083E-2</v>
      </c>
      <c r="O23" s="2">
        <f t="shared" ca="1" si="3"/>
        <v>-8.8610559999552588E-3</v>
      </c>
      <c r="Q23" s="23">
        <f t="shared" si="4"/>
        <v>39034.084999999999</v>
      </c>
    </row>
    <row r="24" spans="1:17" s="2" customFormat="1" ht="12.75" customHeight="1" x14ac:dyDescent="0.2">
      <c r="A24" s="21" t="s">
        <v>48</v>
      </c>
      <c r="B24" s="24" t="s">
        <v>46</v>
      </c>
      <c r="C24" s="22">
        <v>55259.588080000001</v>
      </c>
      <c r="D24" s="22">
        <v>2.0000000000000001E-4</v>
      </c>
      <c r="E24" s="2">
        <f t="shared" si="0"/>
        <v>565.99787221033318</v>
      </c>
      <c r="F24" s="2">
        <f t="shared" si="1"/>
        <v>566</v>
      </c>
      <c r="G24" s="2">
        <f t="shared" si="2"/>
        <v>-1.3919999997597188E-2</v>
      </c>
      <c r="I24" s="2">
        <f t="shared" si="5"/>
        <v>-1.3919999997597188E-2</v>
      </c>
      <c r="O24" s="2">
        <f t="shared" ca="1" si="3"/>
        <v>-1.2792773010037894E-2</v>
      </c>
      <c r="Q24" s="23">
        <f t="shared" si="4"/>
        <v>40241.088080000001</v>
      </c>
    </row>
    <row r="25" spans="1:17" s="2" customFormat="1" ht="12.75" customHeight="1" x14ac:dyDescent="0.2">
      <c r="A25" s="25" t="s">
        <v>49</v>
      </c>
      <c r="B25" s="26" t="s">
        <v>46</v>
      </c>
      <c r="C25" s="27">
        <v>56221.26096</v>
      </c>
      <c r="D25" s="27">
        <v>4.0000000000000002E-4</v>
      </c>
      <c r="E25" s="2">
        <f t="shared" si="0"/>
        <v>712.99770100886553</v>
      </c>
      <c r="F25" s="2">
        <f t="shared" si="1"/>
        <v>713</v>
      </c>
      <c r="G25" s="2">
        <f t="shared" si="2"/>
        <v>-1.5039999998407438E-2</v>
      </c>
      <c r="I25" s="2">
        <f t="shared" si="5"/>
        <v>-1.5039999998407438E-2</v>
      </c>
      <c r="O25" s="2">
        <f t="shared" ca="1" si="3"/>
        <v>-1.5925360546526497E-2</v>
      </c>
      <c r="Q25" s="23">
        <f t="shared" si="4"/>
        <v>41202.76096</v>
      </c>
    </row>
    <row r="26" spans="1:17" s="2" customFormat="1" ht="12.75" customHeight="1" x14ac:dyDescent="0.2">
      <c r="A26" s="28" t="s">
        <v>50</v>
      </c>
      <c r="B26" s="29"/>
      <c r="C26" s="28">
        <v>56221.259290000002</v>
      </c>
      <c r="D26" s="28">
        <v>3.6000000000000002E-4</v>
      </c>
      <c r="E26" s="2">
        <f t="shared" si="0"/>
        <v>712.99744573524913</v>
      </c>
      <c r="F26" s="2">
        <f t="shared" si="1"/>
        <v>713</v>
      </c>
      <c r="G26" s="2">
        <f t="shared" si="2"/>
        <v>-1.6709999996237457E-2</v>
      </c>
      <c r="I26" s="2">
        <f t="shared" si="5"/>
        <v>-1.6709999996237457E-2</v>
      </c>
      <c r="O26" s="2">
        <f t="shared" ca="1" si="3"/>
        <v>-1.5925360546526497E-2</v>
      </c>
      <c r="Q26" s="23">
        <f t="shared" si="4"/>
        <v>41202.759290000002</v>
      </c>
    </row>
    <row r="27" spans="1:17" s="2" customFormat="1" ht="12.75" customHeight="1" x14ac:dyDescent="0.2">
      <c r="A27" s="30" t="s">
        <v>51</v>
      </c>
      <c r="B27" s="31" t="s">
        <v>46</v>
      </c>
      <c r="C27" s="32">
        <v>57025.923000000003</v>
      </c>
      <c r="D27" s="32">
        <v>5.0000000000000001E-3</v>
      </c>
      <c r="E27" s="2">
        <f t="shared" si="0"/>
        <v>835.99709568939181</v>
      </c>
      <c r="F27" s="2">
        <f t="shared" si="1"/>
        <v>836</v>
      </c>
      <c r="G27" s="2">
        <f t="shared" si="2"/>
        <v>-1.9000000000232831E-2</v>
      </c>
      <c r="I27" s="2">
        <f t="shared" si="5"/>
        <v>-1.9000000000232831E-2</v>
      </c>
      <c r="O27" s="2">
        <f t="shared" ca="1" si="3"/>
        <v>-1.8546505219914924E-2</v>
      </c>
      <c r="Q27" s="23">
        <f t="shared" si="4"/>
        <v>42007.423000000003</v>
      </c>
    </row>
    <row r="28" spans="1:17" s="2" customFormat="1" ht="12.75" customHeight="1" x14ac:dyDescent="0.2">
      <c r="A28" s="30" t="s">
        <v>51</v>
      </c>
      <c r="B28" s="31" t="s">
        <v>46</v>
      </c>
      <c r="C28" s="32">
        <v>57025.923000000003</v>
      </c>
      <c r="D28" s="32">
        <v>7.0000000000000001E-3</v>
      </c>
      <c r="E28" s="2">
        <f t="shared" si="0"/>
        <v>835.99709568939181</v>
      </c>
      <c r="F28" s="2">
        <f t="shared" si="1"/>
        <v>836</v>
      </c>
      <c r="G28" s="2">
        <f t="shared" si="2"/>
        <v>-1.9000000000232831E-2</v>
      </c>
      <c r="I28" s="2">
        <f t="shared" si="5"/>
        <v>-1.9000000000232831E-2</v>
      </c>
      <c r="O28" s="2">
        <f t="shared" ca="1" si="3"/>
        <v>-1.8546505219914924E-2</v>
      </c>
      <c r="Q28" s="23">
        <f t="shared" si="4"/>
        <v>42007.423000000003</v>
      </c>
    </row>
    <row r="29" spans="1:17" s="2" customFormat="1" ht="12.75" customHeight="1" x14ac:dyDescent="0.2">
      <c r="A29" s="30" t="s">
        <v>51</v>
      </c>
      <c r="B29" s="31" t="s">
        <v>47</v>
      </c>
      <c r="C29" s="32">
        <v>57029.190999999999</v>
      </c>
      <c r="D29" s="32">
        <v>6.0000000000000001E-3</v>
      </c>
      <c r="E29" s="2">
        <f t="shared" si="0"/>
        <v>836.49663711403196</v>
      </c>
      <c r="F29" s="2">
        <f t="shared" si="1"/>
        <v>836.5</v>
      </c>
      <c r="G29" s="2">
        <f t="shared" si="2"/>
        <v>-2.200000000448199E-2</v>
      </c>
      <c r="I29" s="2">
        <f t="shared" si="5"/>
        <v>-2.200000000448199E-2</v>
      </c>
      <c r="O29" s="2">
        <f t="shared" ca="1" si="3"/>
        <v>-1.8557160279562841E-2</v>
      </c>
      <c r="Q29" s="23">
        <f t="shared" si="4"/>
        <v>42010.690999999999</v>
      </c>
    </row>
    <row r="30" spans="1:17" s="2" customFormat="1" ht="12.75" customHeight="1" x14ac:dyDescent="0.2">
      <c r="A30" s="30" t="s">
        <v>51</v>
      </c>
      <c r="B30" s="31" t="s">
        <v>47</v>
      </c>
      <c r="C30" s="32">
        <v>57029.195</v>
      </c>
      <c r="D30" s="32">
        <v>6.0000000000000001E-3</v>
      </c>
      <c r="E30" s="2">
        <f t="shared" si="0"/>
        <v>836.49724854784438</v>
      </c>
      <c r="F30" s="2">
        <f t="shared" si="1"/>
        <v>836.5</v>
      </c>
      <c r="G30" s="2">
        <f t="shared" si="2"/>
        <v>-1.8000000003667083E-2</v>
      </c>
      <c r="I30" s="2">
        <f t="shared" si="5"/>
        <v>-1.8000000003667083E-2</v>
      </c>
      <c r="O30" s="2">
        <f t="shared" ca="1" si="3"/>
        <v>-1.8557160279562841E-2</v>
      </c>
      <c r="Q30" s="23">
        <f t="shared" si="4"/>
        <v>42010.695</v>
      </c>
    </row>
    <row r="31" spans="1:17" s="2" customFormat="1" ht="12.75" customHeight="1" x14ac:dyDescent="0.2">
      <c r="A31" s="33" t="s">
        <v>52</v>
      </c>
      <c r="B31" s="34" t="s">
        <v>46</v>
      </c>
      <c r="C31" s="35">
        <v>58118.437739999965</v>
      </c>
      <c r="D31" s="35">
        <v>5.0000000000000001E-4</v>
      </c>
      <c r="E31" s="2">
        <f>+(C31-C$7)/C$8</f>
        <v>1002.9972088046413</v>
      </c>
      <c r="F31" s="2">
        <f t="shared" si="1"/>
        <v>1003</v>
      </c>
      <c r="G31" s="2">
        <f>+C31-(C$7+F31*C$8)</f>
        <v>-1.8260000040754676E-2</v>
      </c>
      <c r="I31" s="2">
        <f>+G31</f>
        <v>-1.8260000040754676E-2</v>
      </c>
      <c r="O31" s="2">
        <f ca="1">+C$11+C$12*$F31</f>
        <v>-2.2105295142320347E-2</v>
      </c>
      <c r="Q31" s="23">
        <f>+C31-15018.5</f>
        <v>43099.937739999965</v>
      </c>
    </row>
    <row r="32" spans="1:17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2024-03-09T03:42:01Z</dcterms:created>
  <dcterms:modified xsi:type="dcterms:W3CDTF">2024-03-09T03:42:01Z</dcterms:modified>
</cp:coreProperties>
</file>