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8FEC471-8597-4F2F-BC7E-D81035D332EE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Q48" i="1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40" i="2"/>
  <c r="C40" i="2"/>
  <c r="G32" i="2"/>
  <c r="C32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E26" i="2"/>
  <c r="G25" i="2"/>
  <c r="C25" i="2"/>
  <c r="G24" i="2"/>
  <c r="C24" i="2"/>
  <c r="G23" i="2"/>
  <c r="C23" i="2"/>
  <c r="E23" i="2"/>
  <c r="G22" i="2"/>
  <c r="C22" i="2"/>
  <c r="G21" i="2"/>
  <c r="C21" i="2"/>
  <c r="G20" i="2"/>
  <c r="C20" i="2"/>
  <c r="E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E12" i="2"/>
  <c r="G11" i="2"/>
  <c r="C11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40" i="2"/>
  <c r="B40" i="2"/>
  <c r="D40" i="2"/>
  <c r="A40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E55" i="1"/>
  <c r="F55" i="1" s="1"/>
  <c r="G55" i="1" s="1"/>
  <c r="C13" i="1"/>
  <c r="Q55" i="1"/>
  <c r="Q21" i="1"/>
  <c r="D14" i="1"/>
  <c r="D13" i="1"/>
  <c r="C14" i="1"/>
  <c r="C17" i="1"/>
  <c r="F12" i="1"/>
  <c r="E53" i="1"/>
  <c r="E37" i="2" s="1"/>
  <c r="E54" i="1"/>
  <c r="E38" i="2" s="1"/>
  <c r="F54" i="1"/>
  <c r="G54" i="1" s="1"/>
  <c r="Q53" i="1"/>
  <c r="Q54" i="1"/>
  <c r="E50" i="1"/>
  <c r="E34" i="2" s="1"/>
  <c r="E52" i="1"/>
  <c r="E36" i="2" s="1"/>
  <c r="F52" i="1"/>
  <c r="G52" i="1" s="1"/>
  <c r="E47" i="1"/>
  <c r="F47" i="1" s="1"/>
  <c r="G47" i="1" s="1"/>
  <c r="F22" i="1"/>
  <c r="G22" i="1" s="1"/>
  <c r="E33" i="1"/>
  <c r="F33" i="1" s="1"/>
  <c r="G33" i="1" s="1"/>
  <c r="E34" i="1"/>
  <c r="E24" i="2" s="1"/>
  <c r="F34" i="1"/>
  <c r="G34" i="1"/>
  <c r="R34" i="1" s="1"/>
  <c r="E35" i="1"/>
  <c r="E25" i="2" s="1"/>
  <c r="E36" i="1"/>
  <c r="F36" i="1" s="1"/>
  <c r="G36" i="1" s="1"/>
  <c r="E37" i="1"/>
  <c r="E27" i="2" s="1"/>
  <c r="F37" i="1"/>
  <c r="G37" i="1" s="1"/>
  <c r="E38" i="1"/>
  <c r="F38" i="1"/>
  <c r="G38" i="1" s="1"/>
  <c r="E39" i="1"/>
  <c r="F39" i="1"/>
  <c r="G39" i="1" s="1"/>
  <c r="E40" i="1"/>
  <c r="F40" i="1" s="1"/>
  <c r="G40" i="1" s="1"/>
  <c r="E41" i="1"/>
  <c r="F41" i="1"/>
  <c r="G41" i="1"/>
  <c r="S41" i="1" s="1"/>
  <c r="J41" i="1"/>
  <c r="E42" i="1"/>
  <c r="E28" i="2" s="1"/>
  <c r="F42" i="1"/>
  <c r="G42" i="1" s="1"/>
  <c r="E43" i="1"/>
  <c r="F43" i="1" s="1"/>
  <c r="G43" i="1" s="1"/>
  <c r="E44" i="1"/>
  <c r="E29" i="2" s="1"/>
  <c r="F44" i="1"/>
  <c r="G44" i="1" s="1"/>
  <c r="E45" i="1"/>
  <c r="E30" i="2" s="1"/>
  <c r="E46" i="1"/>
  <c r="F46" i="1"/>
  <c r="G46" i="1"/>
  <c r="K46" i="1" s="1"/>
  <c r="E49" i="1"/>
  <c r="F49" i="1" s="1"/>
  <c r="G49" i="1" s="1"/>
  <c r="E51" i="1"/>
  <c r="E35" i="2" s="1"/>
  <c r="F51" i="1"/>
  <c r="G51" i="1"/>
  <c r="R51" i="1" s="1"/>
  <c r="Q50" i="1"/>
  <c r="Q52" i="1"/>
  <c r="Q47" i="1"/>
  <c r="Q51" i="1"/>
  <c r="Q49" i="1"/>
  <c r="Q43" i="1"/>
  <c r="E24" i="1"/>
  <c r="F24" i="1" s="1"/>
  <c r="G24" i="1" s="1"/>
  <c r="E25" i="1"/>
  <c r="E15" i="2" s="1"/>
  <c r="F25" i="1"/>
  <c r="G25" i="1" s="1"/>
  <c r="E26" i="1"/>
  <c r="F26" i="1" s="1"/>
  <c r="G26" i="1" s="1"/>
  <c r="E27" i="1"/>
  <c r="E17" i="2" s="1"/>
  <c r="F27" i="1"/>
  <c r="G27" i="1"/>
  <c r="R27" i="1" s="1"/>
  <c r="E28" i="1"/>
  <c r="F28" i="1" s="1"/>
  <c r="G28" i="1" s="1"/>
  <c r="E29" i="1"/>
  <c r="E19" i="2" s="1"/>
  <c r="F29" i="1"/>
  <c r="G29" i="1" s="1"/>
  <c r="E30" i="1"/>
  <c r="F30" i="1" s="1"/>
  <c r="G30" i="1" s="1"/>
  <c r="E31" i="1"/>
  <c r="E21" i="2" s="1"/>
  <c r="F31" i="1"/>
  <c r="G31" i="1"/>
  <c r="R31" i="1" s="1"/>
  <c r="E32" i="1"/>
  <c r="E22" i="2" s="1"/>
  <c r="E21" i="1"/>
  <c r="E11" i="2" s="1"/>
  <c r="E22" i="1"/>
  <c r="E23" i="1"/>
  <c r="E13" i="2" s="1"/>
  <c r="F23" i="1"/>
  <c r="G23" i="1" s="1"/>
  <c r="Q45" i="1"/>
  <c r="Q44" i="1"/>
  <c r="Q38" i="1"/>
  <c r="Q39" i="1"/>
  <c r="Q40" i="1"/>
  <c r="Q41" i="1"/>
  <c r="Q42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6" i="1"/>
  <c r="H31" i="1"/>
  <c r="K51" i="1"/>
  <c r="K49" i="1" l="1"/>
  <c r="R49" i="1"/>
  <c r="R38" i="1"/>
  <c r="J38" i="1"/>
  <c r="H33" i="1"/>
  <c r="R33" i="1"/>
  <c r="K54" i="1"/>
  <c r="S54" i="1"/>
  <c r="S19" i="1" s="1"/>
  <c r="E19" i="1" s="1"/>
  <c r="G11" i="1" s="1"/>
  <c r="R26" i="1"/>
  <c r="H26" i="1"/>
  <c r="H37" i="1"/>
  <c r="R37" i="1"/>
  <c r="H22" i="1"/>
  <c r="R22" i="1"/>
  <c r="R42" i="1"/>
  <c r="J42" i="1"/>
  <c r="H23" i="1"/>
  <c r="R23" i="1"/>
  <c r="R30" i="1"/>
  <c r="H30" i="1"/>
  <c r="H25" i="1"/>
  <c r="R25" i="1"/>
  <c r="K47" i="1"/>
  <c r="R47" i="1"/>
  <c r="R29" i="1"/>
  <c r="H29" i="1"/>
  <c r="H36" i="1"/>
  <c r="R36" i="1"/>
  <c r="K52" i="1"/>
  <c r="R52" i="1"/>
  <c r="R55" i="1"/>
  <c r="K55" i="1"/>
  <c r="K44" i="1"/>
  <c r="R44" i="1"/>
  <c r="R24" i="1"/>
  <c r="H24" i="1"/>
  <c r="R40" i="1"/>
  <c r="J40" i="1"/>
  <c r="H28" i="1"/>
  <c r="R28" i="1"/>
  <c r="R43" i="1"/>
  <c r="K43" i="1"/>
  <c r="R39" i="1"/>
  <c r="J39" i="1"/>
  <c r="R48" i="1"/>
  <c r="I48" i="1"/>
  <c r="F32" i="1"/>
  <c r="G32" i="1" s="1"/>
  <c r="E18" i="2"/>
  <c r="E39" i="2"/>
  <c r="F35" i="1"/>
  <c r="G35" i="1" s="1"/>
  <c r="F21" i="1"/>
  <c r="F50" i="1"/>
  <c r="G50" i="1" s="1"/>
  <c r="F53" i="1"/>
  <c r="G53" i="1" s="1"/>
  <c r="E32" i="2"/>
  <c r="R46" i="1"/>
  <c r="E16" i="2"/>
  <c r="H27" i="1"/>
  <c r="F45" i="1"/>
  <c r="G45" i="1" s="1"/>
  <c r="E14" i="2"/>
  <c r="E40" i="2"/>
  <c r="H34" i="1"/>
  <c r="F13" i="1"/>
  <c r="D12" i="1"/>
  <c r="D11" i="1"/>
  <c r="P21" i="1" l="1"/>
  <c r="P29" i="1"/>
  <c r="P26" i="1"/>
  <c r="P34" i="1"/>
  <c r="P23" i="1"/>
  <c r="P43" i="1"/>
  <c r="P44" i="1"/>
  <c r="P41" i="1"/>
  <c r="P42" i="1"/>
  <c r="P22" i="1"/>
  <c r="P24" i="1"/>
  <c r="P52" i="1"/>
  <c r="P36" i="1"/>
  <c r="P37" i="1"/>
  <c r="P38" i="1"/>
  <c r="P47" i="1"/>
  <c r="P25" i="1"/>
  <c r="P31" i="1"/>
  <c r="P40" i="1"/>
  <c r="P27" i="1"/>
  <c r="P53" i="1"/>
  <c r="P46" i="1"/>
  <c r="P28" i="1"/>
  <c r="P45" i="1"/>
  <c r="P51" i="1"/>
  <c r="P39" i="1"/>
  <c r="P54" i="1"/>
  <c r="P32" i="1"/>
  <c r="D15" i="1"/>
  <c r="C19" i="1" s="1"/>
  <c r="P30" i="1"/>
  <c r="P35" i="1"/>
  <c r="P48" i="1"/>
  <c r="P50" i="1"/>
  <c r="P33" i="1"/>
  <c r="P55" i="1"/>
  <c r="P49" i="1"/>
  <c r="D16" i="1"/>
  <c r="D19" i="1" s="1"/>
  <c r="R32" i="1"/>
  <c r="H32" i="1"/>
  <c r="K53" i="1"/>
  <c r="R53" i="1"/>
  <c r="K50" i="1"/>
  <c r="R50" i="1"/>
  <c r="G21" i="1"/>
  <c r="R45" i="1"/>
  <c r="K45" i="1"/>
  <c r="R35" i="1"/>
  <c r="H35" i="1"/>
  <c r="C12" i="1"/>
  <c r="C11" i="1"/>
  <c r="O21" i="1" l="1"/>
  <c r="O51" i="1"/>
  <c r="O55" i="1"/>
  <c r="O40" i="1"/>
  <c r="O27" i="1"/>
  <c r="O34" i="1"/>
  <c r="O32" i="1"/>
  <c r="O53" i="1"/>
  <c r="O54" i="1"/>
  <c r="O41" i="1"/>
  <c r="O44" i="1"/>
  <c r="O45" i="1"/>
  <c r="O46" i="1"/>
  <c r="O23" i="1"/>
  <c r="O22" i="1"/>
  <c r="O33" i="1"/>
  <c r="O42" i="1"/>
  <c r="O36" i="1"/>
  <c r="O31" i="1"/>
  <c r="O37" i="1"/>
  <c r="O29" i="1"/>
  <c r="O43" i="1"/>
  <c r="O35" i="1"/>
  <c r="O48" i="1"/>
  <c r="O24" i="1"/>
  <c r="O50" i="1"/>
  <c r="O39" i="1"/>
  <c r="O52" i="1"/>
  <c r="O38" i="1"/>
  <c r="C15" i="1"/>
  <c r="C18" i="1" s="1"/>
  <c r="O49" i="1"/>
  <c r="O28" i="1"/>
  <c r="O30" i="1"/>
  <c r="O47" i="1"/>
  <c r="O25" i="1"/>
  <c r="O26" i="1"/>
  <c r="C16" i="1"/>
  <c r="D18" i="1" s="1"/>
  <c r="H21" i="1"/>
  <c r="R21" i="1"/>
  <c r="R19" i="1" s="1"/>
  <c r="E18" i="1" s="1"/>
  <c r="F14" i="1" l="1"/>
  <c r="F15" i="1" s="1"/>
</calcChain>
</file>

<file path=xl/sharedStrings.xml><?xml version="1.0" encoding="utf-8"?>
<sst xmlns="http://schemas.openxmlformats.org/spreadsheetml/2006/main" count="355" uniqueCount="189">
  <si>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</si>
  <si>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</si>
  <si>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</si>
  <si>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</si>
  <si>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</si>
  <si>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</si>
  <si>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</si>
  <si>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</si>
  <si>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</si>
  <si>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</si>
  <si>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</si>
  <si>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</si>
  <si>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</si>
  <si>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</si>
  <si>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</si>
  <si>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</si>
  <si>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</si>
  <si>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S4</t>
  </si>
  <si>
    <t>S5</t>
  </si>
  <si>
    <t>Misc</t>
  </si>
  <si>
    <t>not avail.</t>
  </si>
  <si>
    <t>IBVS 5084</t>
  </si>
  <si>
    <t>IBVS</t>
  </si>
  <si>
    <t>pg</t>
  </si>
  <si>
    <t>K.Locher BBS 128</t>
  </si>
  <si>
    <t>I</t>
  </si>
  <si>
    <t>II</t>
  </si>
  <si>
    <t>JAAVSO 29, 89</t>
  </si>
  <si>
    <t>IBVS 5592</t>
  </si>
  <si>
    <t>IBVS 5543</t>
  </si>
  <si>
    <t>EA</t>
  </si>
  <si>
    <t>LO UMa / GSC 03002-00454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</si>
  <si>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</si>
  <si>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</si>
  <si>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</si>
  <si>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</si>
  <si>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</si>
  <si>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</si>
  <si>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5438</t>
  </si>
  <si>
    <t>IBVS 5894</t>
  </si>
  <si>
    <t>IBVS 5945</t>
  </si>
  <si>
    <t>Add cycle</t>
  </si>
  <si>
    <t>Old Cycle</t>
  </si>
  <si>
    <t>IBVS 5918</t>
  </si>
  <si>
    <t>IBVS 5992</t>
  </si>
  <si>
    <t>OEJV 0003</t>
  </si>
  <si>
    <t>IBVS 6029</t>
  </si>
  <si>
    <t>Start of Lin fit (row)</t>
  </si>
  <si>
    <t>Primary</t>
  </si>
  <si>
    <t>Secondary</t>
  </si>
  <si>
    <t>Start cell (x)</t>
  </si>
  <si>
    <t>Start cell (y)</t>
  </si>
  <si>
    <t># of data points =</t>
  </si>
  <si>
    <t>Prim. Ephem. =</t>
  </si>
  <si>
    <t>Sec. Ephem. =</t>
  </si>
  <si>
    <t>Prim. Fit</t>
  </si>
  <si>
    <t>Sec. Fit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</si>
  <si>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</si>
  <si>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</si>
  <si>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</si>
  <si>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</si>
  <si>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</si>
  <si>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</si>
  <si>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</si>
  <si>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</si>
  <si>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</si>
  <si>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</si>
  <si>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</si>
  <si>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2425290.813 </t>
  </si>
  <si>
    <t> 14.02.1928 07:30 </t>
  </si>
  <si>
    <t> -0.866 </t>
  </si>
  <si>
    <t>P </t>
  </si>
  <si>
    <t> D.Williams </t>
  </si>
  <si>
    <t>IBVS 5084 </t>
  </si>
  <si>
    <t>2427092.797 </t>
  </si>
  <si>
    <t> 20.01.1933 07:07 </t>
  </si>
  <si>
    <t> -0.905 </t>
  </si>
  <si>
    <t>2427374.884 </t>
  </si>
  <si>
    <t> 29.10.1933 09:12 </t>
  </si>
  <si>
    <t> -0.906 </t>
  </si>
  <si>
    <t>2427532.588 </t>
  </si>
  <si>
    <t> 05.04.1934 02:06 </t>
  </si>
  <si>
    <t> -0.949 </t>
  </si>
  <si>
    <t>2428961.655 </t>
  </si>
  <si>
    <t> 04.03.1938 03:43 </t>
  </si>
  <si>
    <t> -0.881 </t>
  </si>
  <si>
    <t>2429429.655 </t>
  </si>
  <si>
    <t> 15.06.1939 03:43 </t>
  </si>
  <si>
    <t> -0.554 </t>
  </si>
  <si>
    <t>2431084.864 </t>
  </si>
  <si>
    <t> 26.12.1943 08:44 </t>
  </si>
  <si>
    <t> -0.757 </t>
  </si>
  <si>
    <t>2434072.774 </t>
  </si>
  <si>
    <t> 01.03.1952 06:34 </t>
  </si>
  <si>
    <t> -0.754 </t>
  </si>
  <si>
    <t>2442485.727 </t>
  </si>
  <si>
    <t> 14.03.1975 05:26 </t>
  </si>
  <si>
    <t> -0.337 </t>
  </si>
  <si>
    <t>2444996.764 </t>
  </si>
  <si>
    <t> 27.01.1982 06:20 </t>
  </si>
  <si>
    <t> -0.256 </t>
  </si>
  <si>
    <t>2445289.892 </t>
  </si>
  <si>
    <t> 16.11.1982 09:24 </t>
  </si>
  <si>
    <t> -0.351 </t>
  </si>
  <si>
    <t>2445757.717 </t>
  </si>
  <si>
    <t> 27.02.1984 05:12 </t>
  </si>
  <si>
    <t> -0.198 </t>
  </si>
  <si>
    <t>2446438.810 </t>
  </si>
  <si>
    <t> 08.01.1986 07:26 </t>
  </si>
  <si>
    <t> -0.200 </t>
  </si>
  <si>
    <t>2446492.646 </t>
  </si>
  <si>
    <t> 03.03.1986 03:30 </t>
  </si>
  <si>
    <t> -0.183 </t>
  </si>
  <si>
    <t>2446878.712 </t>
  </si>
  <si>
    <t> 24.03.1987 05:05 </t>
  </si>
  <si>
    <t> -0.133 </t>
  </si>
  <si>
    <t>2447264.629 </t>
  </si>
  <si>
    <t> 13.04.1988 03:05 </t>
  </si>
  <si>
    <t> -0.231 </t>
  </si>
  <si>
    <t>2449801.651 </t>
  </si>
  <si>
    <t> 25.03.1995 03:37 </t>
  </si>
  <si>
    <t> -0.146 </t>
  </si>
  <si>
    <t>2452368.408 </t>
  </si>
  <si>
    <t> 03.04.2002 21:47 </t>
  </si>
  <si>
    <t> -0.020 </t>
  </si>
  <si>
    <t>V </t>
  </si>
  <si>
    <t> K.Locher </t>
  </si>
  <si>
    <t> BBS 128 </t>
  </si>
  <si>
    <t>2453038.3828 </t>
  </si>
  <si>
    <t> 02.02.2004 21:11 </t>
  </si>
  <si>
    <t> -0.0047 </t>
  </si>
  <si>
    <t>E </t>
  </si>
  <si>
    <t>?</t>
  </si>
  <si>
    <t> T.Krajci </t>
  </si>
  <si>
    <t>IBVS 5592 </t>
  </si>
  <si>
    <t>2453049.547 </t>
  </si>
  <si>
    <t> 14.02.2004 01:07 </t>
  </si>
  <si>
    <t> 0.024 </t>
  </si>
  <si>
    <t> BBS 130 </t>
  </si>
  <si>
    <t>2453157.1601 </t>
  </si>
  <si>
    <t> 31.05.2004 15:50 </t>
  </si>
  <si>
    <t> -0.0013 </t>
  </si>
  <si>
    <t>2453409.575 </t>
  </si>
  <si>
    <t> 08.02.2005 01:48 </t>
  </si>
  <si>
    <t> 0.019 </t>
  </si>
  <si>
    <t>OEJV 0003 </t>
  </si>
  <si>
    <t>2454562.0423 </t>
  </si>
  <si>
    <t> 05.04.2008 13:00 </t>
  </si>
  <si>
    <t> 0.0077 </t>
  </si>
  <si>
    <t>C </t>
  </si>
  <si>
    <t>Ic</t>
  </si>
  <si>
    <t> K.Nakajima </t>
  </si>
  <si>
    <t>VSB 48 </t>
  </si>
  <si>
    <t>2454860.825 </t>
  </si>
  <si>
    <t> 29.01.2009 07:48 </t>
  </si>
  <si>
    <t> -0.000 </t>
  </si>
  <si>
    <t> R.Diethelm </t>
  </si>
  <si>
    <t>IBVS 5894 </t>
  </si>
  <si>
    <t>2454942.4844 </t>
  </si>
  <si>
    <t> 20.04.2009 23:37 </t>
  </si>
  <si>
    <t> 0.0020 </t>
  </si>
  <si>
    <t>-I</t>
  </si>
  <si>
    <t> F.Agerer </t>
  </si>
  <si>
    <t>BAVM 209 </t>
  </si>
  <si>
    <t>2455259.8273 </t>
  </si>
  <si>
    <t> 04.03.2010 07:51 </t>
  </si>
  <si>
    <t>1487</t>
  </si>
  <si>
    <t> -0.0042 </t>
  </si>
  <si>
    <t>IBVS 5945 </t>
  </si>
  <si>
    <t>2455660.6883 </t>
  </si>
  <si>
    <t> 09.04.2011 04:31 </t>
  </si>
  <si>
    <t>1703</t>
  </si>
  <si>
    <t> -0.0053 </t>
  </si>
  <si>
    <t>IBVS 5992 </t>
  </si>
  <si>
    <t>2455953.9111 </t>
  </si>
  <si>
    <t> 27.01.2012 09:51 </t>
  </si>
  <si>
    <t>1861</t>
  </si>
  <si>
    <t> -0.0057 </t>
  </si>
  <si>
    <t>IBVS 6029 </t>
  </si>
  <si>
    <t>2456038.7184 </t>
  </si>
  <si>
    <t> 21.04.2012 05:14 </t>
  </si>
  <si>
    <t>1906.5</t>
  </si>
  <si>
    <t> 0.3607 </t>
  </si>
  <si>
    <t>2456744.5178 </t>
  </si>
  <si>
    <t> 28.03.2014 00:25 </t>
  </si>
  <si>
    <t>2287</t>
  </si>
  <si>
    <t> 0.0119 </t>
  </si>
  <si>
    <t>BAVM 238 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</si>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</sst>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176" fontId="9" fillId="0" borderId="0" xfId="0" applyNumberFormat="1" applyFont="1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1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UMa - O-C Diagr.</a:t>
            </a:r>
          </a:p>
        </c:rich>
      </c:tx>
      <c:layout>
        <c:manualLayout>
          <c:xMode val="edge"/>
          <c:yMode val="edge"/>
          <c:x val="0.37357293633564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50722664791"/>
          <c:y val="0.14723926380368099"/>
          <c:w val="0.8075047215161742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0">
                  <c:v>7.6531999995495426E-2</c:v>
                </c:pt>
                <c:pt idx="1">
                  <c:v>-1.9339000002219109E-2</c:v>
                </c:pt>
                <c:pt idx="2">
                  <c:v>-2.9291000002558576E-2</c:v>
                </c:pt>
                <c:pt idx="3">
                  <c:v>-7.6876000002812361E-2</c:v>
                </c:pt>
                <c:pt idx="4">
                  <c:v>-5.3646000000298955E-2</c:v>
                </c:pt>
                <c:pt idx="5">
                  <c:v>0.25930199999856995</c:v>
                </c:pt>
                <c:pt idx="6">
                  <c:v>4.6099999999569263E-3</c:v>
                </c:pt>
                <c:pt idx="7">
                  <c:v>-8.6000000002968591E-2</c:v>
                </c:pt>
                <c:pt idx="8">
                  <c:v>6.7767000000458211E-2</c:v>
                </c:pt>
                <c:pt idx="9">
                  <c:v>7.071400000131689E-2</c:v>
                </c:pt>
                <c:pt idx="10">
                  <c:v>-3.3644000002823304E-2</c:v>
                </c:pt>
                <c:pt idx="11">
                  <c:v>0.10430400000041118</c:v>
                </c:pt>
                <c:pt idx="12">
                  <c:v>8.1636999995680526E-2</c:v>
                </c:pt>
                <c:pt idx="13">
                  <c:v>9.650800000235904E-2</c:v>
                </c:pt>
                <c:pt idx="14">
                  <c:v>0.13509999999951106</c:v>
                </c:pt>
                <c:pt idx="15">
                  <c:v>2.4691999999049585E-2</c:v>
                </c:pt>
                <c:pt idx="16">
                  <c:v>3.0025000000023283E-2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C-4613-A743-0E61F1AFF34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27">
                  <c:v>3.5260000004200265E-2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C-4613-A743-0E61F1AFF34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7">
                  <c:v>6.6381999997247476E-2</c:v>
                </c:pt>
                <c:pt idx="18">
                  <c:v>6.8253999997978099E-2</c:v>
                </c:pt>
                <c:pt idx="19">
                  <c:v>6.6740000002027955E-2</c:v>
                </c:pt>
                <c:pt idx="20">
                  <c:v>7.2975499999301974E-2</c:v>
                </c:pt>
                <c:pt idx="21">
                  <c:v>7.5942000003124122E-2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0C-4613-A743-0E61F1AFF34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22">
                  <c:v>5.616800000279909E-2</c:v>
                </c:pt>
                <c:pt idx="23">
                  <c:v>7.0480999995197635E-2</c:v>
                </c:pt>
                <c:pt idx="24">
                  <c:v>9.9274999993212987E-2</c:v>
                </c:pt>
                <c:pt idx="25">
                  <c:v>7.0117000002937857E-2</c:v>
                </c:pt>
                <c:pt idx="26">
                  <c:v>8.2480999997642357E-2</c:v>
                </c:pt>
                <c:pt idx="28">
                  <c:v>1.7898999998578802E-2</c:v>
                </c:pt>
                <c:pt idx="29">
                  <c:v>1.7655000003287569E-2</c:v>
                </c:pt>
                <c:pt idx="30">
                  <c:v>1.4840000003459863E-3</c:v>
                </c:pt>
                <c:pt idx="31">
                  <c:v>-1.2131999996199738E-2</c:v>
                </c:pt>
                <c:pt idx="32">
                  <c:v>-2.169000000867527E-2</c:v>
                </c:pt>
                <c:pt idx="33">
                  <c:v>0.34211449999565957</c:v>
                </c:pt>
                <c:pt idx="34">
                  <c:v>-2.8815999998187181E-2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0C-4613-A743-0E61F1AFF34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0C-4613-A743-0E61F1AFF34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0C-4613-A743-0E61F1AFF34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0C-4613-A743-0E61F1AFF34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0">
                  <c:v>1.0205636820337201</c:v>
                </c:pt>
                <c:pt idx="1">
                  <c:v>0.95967743323489885</c:v>
                </c:pt>
                <c:pt idx="2">
                  <c:v>0.95014632116752418</c:v>
                </c:pt>
                <c:pt idx="3">
                  <c:v>0.94481642297195279</c:v>
                </c:pt>
                <c:pt idx="4">
                  <c:v>0.89653381578854152</c:v>
                </c:pt>
                <c:pt idx="5">
                  <c:v>0.8807322352557887</c:v>
                </c:pt>
                <c:pt idx="6">
                  <c:v>0.82479965654461618</c:v>
                </c:pt>
                <c:pt idx="7">
                  <c:v>0.72384511425202902</c:v>
                </c:pt>
                <c:pt idx="8">
                  <c:v>0.43960477871644033</c:v>
                </c:pt>
                <c:pt idx="9">
                  <c:v>0.35476534037987484</c:v>
                </c:pt>
                <c:pt idx="10">
                  <c:v>0.34485800020457746</c:v>
                </c:pt>
                <c:pt idx="11">
                  <c:v>0.3290564196718247</c:v>
                </c:pt>
                <c:pt idx="12">
                  <c:v>0.30604380040388707</c:v>
                </c:pt>
                <c:pt idx="13">
                  <c:v>0.30422536454892746</c:v>
                </c:pt>
                <c:pt idx="14">
                  <c:v>0.29118279014094101</c:v>
                </c:pt>
                <c:pt idx="15">
                  <c:v>0.27814021573295461</c:v>
                </c:pt>
                <c:pt idx="16">
                  <c:v>0.19242291181123616</c:v>
                </c:pt>
                <c:pt idx="17">
                  <c:v>0.13329239418272076</c:v>
                </c:pt>
                <c:pt idx="18">
                  <c:v>0.13153666301241496</c:v>
                </c:pt>
                <c:pt idx="19">
                  <c:v>0.13065879742726205</c:v>
                </c:pt>
                <c:pt idx="20">
                  <c:v>0.12974957949978216</c:v>
                </c:pt>
                <c:pt idx="21">
                  <c:v>0.10570233293505726</c:v>
                </c:pt>
                <c:pt idx="22">
                  <c:v>9.479171780529938E-2</c:v>
                </c:pt>
                <c:pt idx="23">
                  <c:v>8.306594177504234E-2</c:v>
                </c:pt>
                <c:pt idx="24">
                  <c:v>8.2689713667119635E-2</c:v>
                </c:pt>
                <c:pt idx="25">
                  <c:v>7.9052841957200304E-2</c:v>
                </c:pt>
                <c:pt idx="26">
                  <c:v>7.0525004844286143E-2</c:v>
                </c:pt>
                <c:pt idx="27">
                  <c:v>3.1585395674288197E-2</c:v>
                </c:pt>
                <c:pt idx="28">
                  <c:v>2.148994144502947E-2</c:v>
                </c:pt>
                <c:pt idx="29">
                  <c:v>1.8730935320263153E-2</c:v>
                </c:pt>
                <c:pt idx="30">
                  <c:v>8.0084342444666223E-3</c:v>
                </c:pt>
                <c:pt idx="31">
                  <c:v>-5.5357776407500836E-3</c:v>
                </c:pt>
                <c:pt idx="32">
                  <c:v>-1.5443117816047458E-2</c:v>
                </c:pt>
                <c:pt idx="33">
                  <c:v>-1.8296180967794395E-2</c:v>
                </c:pt>
                <c:pt idx="34">
                  <c:v>-4.2155313478558054E-2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0C-4613-A743-0E61F1AF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250528"/>
        <c:axId val="1"/>
      </c:scatterChart>
      <c:valAx>
        <c:axId val="522250528"/>
        <c:scaling>
          <c:orientation val="minMax"/>
          <c:max val="12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5450240416522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40000000000000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70962479608482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250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5155789050023"/>
          <c:y val="0.92024539877300615"/>
          <c:w val="0.7536711581525392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UMa - O-C Diagr.</a:t>
            </a:r>
          </a:p>
        </c:rich>
      </c:tx>
      <c:layout>
        <c:manualLayout>
          <c:xMode val="edge"/>
          <c:yMode val="edge"/>
          <c:x val="0.37357293633564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50722664791"/>
          <c:y val="0.14723926380368099"/>
          <c:w val="0.8075047215161742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0">
                  <c:v>7.6531999995495426E-2</c:v>
                </c:pt>
                <c:pt idx="1">
                  <c:v>-1.9339000002219109E-2</c:v>
                </c:pt>
                <c:pt idx="2">
                  <c:v>-2.9291000002558576E-2</c:v>
                </c:pt>
                <c:pt idx="3">
                  <c:v>-7.6876000002812361E-2</c:v>
                </c:pt>
                <c:pt idx="4">
                  <c:v>-5.3646000000298955E-2</c:v>
                </c:pt>
                <c:pt idx="5">
                  <c:v>0.25930199999856995</c:v>
                </c:pt>
                <c:pt idx="6">
                  <c:v>4.6099999999569263E-3</c:v>
                </c:pt>
                <c:pt idx="7">
                  <c:v>-8.6000000002968591E-2</c:v>
                </c:pt>
                <c:pt idx="8">
                  <c:v>6.7767000000458211E-2</c:v>
                </c:pt>
                <c:pt idx="9">
                  <c:v>7.071400000131689E-2</c:v>
                </c:pt>
                <c:pt idx="10">
                  <c:v>-3.3644000002823304E-2</c:v>
                </c:pt>
                <c:pt idx="11">
                  <c:v>0.10430400000041118</c:v>
                </c:pt>
                <c:pt idx="12">
                  <c:v>8.1636999995680526E-2</c:v>
                </c:pt>
                <c:pt idx="13">
                  <c:v>9.650800000235904E-2</c:v>
                </c:pt>
                <c:pt idx="14">
                  <c:v>0.13509999999951106</c:v>
                </c:pt>
                <c:pt idx="15">
                  <c:v>2.4691999999049585E-2</c:v>
                </c:pt>
                <c:pt idx="16">
                  <c:v>3.0025000000023283E-2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F-4525-9928-193B17533C9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27">
                  <c:v>3.5260000004200265E-2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F-4525-9928-193B17533C9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7">
                  <c:v>6.6381999997247476E-2</c:v>
                </c:pt>
                <c:pt idx="18">
                  <c:v>6.8253999997978099E-2</c:v>
                </c:pt>
                <c:pt idx="19">
                  <c:v>6.6740000002027955E-2</c:v>
                </c:pt>
                <c:pt idx="20">
                  <c:v>7.2975499999301974E-2</c:v>
                </c:pt>
                <c:pt idx="21">
                  <c:v>7.5942000003124122E-2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F-4525-9928-193B17533C9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22">
                  <c:v>5.616800000279909E-2</c:v>
                </c:pt>
                <c:pt idx="23">
                  <c:v>7.0480999995197635E-2</c:v>
                </c:pt>
                <c:pt idx="24">
                  <c:v>9.9274999993212987E-2</c:v>
                </c:pt>
                <c:pt idx="25">
                  <c:v>7.0117000002937857E-2</c:v>
                </c:pt>
                <c:pt idx="26">
                  <c:v>8.2480999997642357E-2</c:v>
                </c:pt>
                <c:pt idx="28">
                  <c:v>1.7898999998578802E-2</c:v>
                </c:pt>
                <c:pt idx="29">
                  <c:v>1.7655000003287569E-2</c:v>
                </c:pt>
                <c:pt idx="30">
                  <c:v>1.4840000003459863E-3</c:v>
                </c:pt>
                <c:pt idx="31">
                  <c:v>-1.2131999996199738E-2</c:v>
                </c:pt>
                <c:pt idx="32">
                  <c:v>-2.169000000867527E-2</c:v>
                </c:pt>
                <c:pt idx="33">
                  <c:v>0.34211449999565957</c:v>
                </c:pt>
                <c:pt idx="34">
                  <c:v>-2.8815999998187181E-2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F-4525-9928-193B17533C9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F-4525-9928-193B17533C9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F-4525-9928-193B17533C9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F-4525-9928-193B17533C9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0">
                  <c:v>1.0205636820337201</c:v>
                </c:pt>
                <c:pt idx="1">
                  <c:v>0.95967743323489885</c:v>
                </c:pt>
                <c:pt idx="2">
                  <c:v>0.95014632116752418</c:v>
                </c:pt>
                <c:pt idx="3">
                  <c:v>0.94481642297195279</c:v>
                </c:pt>
                <c:pt idx="4">
                  <c:v>0.89653381578854152</c:v>
                </c:pt>
                <c:pt idx="5">
                  <c:v>0.8807322352557887</c:v>
                </c:pt>
                <c:pt idx="6">
                  <c:v>0.82479965654461618</c:v>
                </c:pt>
                <c:pt idx="7">
                  <c:v>0.72384511425202902</c:v>
                </c:pt>
                <c:pt idx="8">
                  <c:v>0.43960477871644033</c:v>
                </c:pt>
                <c:pt idx="9">
                  <c:v>0.35476534037987484</c:v>
                </c:pt>
                <c:pt idx="10">
                  <c:v>0.34485800020457746</c:v>
                </c:pt>
                <c:pt idx="11">
                  <c:v>0.3290564196718247</c:v>
                </c:pt>
                <c:pt idx="12">
                  <c:v>0.30604380040388707</c:v>
                </c:pt>
                <c:pt idx="13">
                  <c:v>0.30422536454892746</c:v>
                </c:pt>
                <c:pt idx="14">
                  <c:v>0.29118279014094101</c:v>
                </c:pt>
                <c:pt idx="15">
                  <c:v>0.27814021573295461</c:v>
                </c:pt>
                <c:pt idx="16">
                  <c:v>0.19242291181123616</c:v>
                </c:pt>
                <c:pt idx="17">
                  <c:v>0.13329239418272076</c:v>
                </c:pt>
                <c:pt idx="18">
                  <c:v>0.13153666301241496</c:v>
                </c:pt>
                <c:pt idx="19">
                  <c:v>0.13065879742726205</c:v>
                </c:pt>
                <c:pt idx="20">
                  <c:v>0.12974957949978216</c:v>
                </c:pt>
                <c:pt idx="21">
                  <c:v>0.10570233293505726</c:v>
                </c:pt>
                <c:pt idx="22">
                  <c:v>9.479171780529938E-2</c:v>
                </c:pt>
                <c:pt idx="23">
                  <c:v>8.306594177504234E-2</c:v>
                </c:pt>
                <c:pt idx="24">
                  <c:v>8.2689713667119635E-2</c:v>
                </c:pt>
                <c:pt idx="25">
                  <c:v>7.9052841957200304E-2</c:v>
                </c:pt>
                <c:pt idx="26">
                  <c:v>7.0525004844286143E-2</c:v>
                </c:pt>
                <c:pt idx="27">
                  <c:v>3.1585395674288197E-2</c:v>
                </c:pt>
                <c:pt idx="28">
                  <c:v>2.148994144502947E-2</c:v>
                </c:pt>
                <c:pt idx="29">
                  <c:v>1.8730935320263153E-2</c:v>
                </c:pt>
                <c:pt idx="30">
                  <c:v>8.0084342444666223E-3</c:v>
                </c:pt>
                <c:pt idx="31">
                  <c:v>-5.5357776407500836E-3</c:v>
                </c:pt>
                <c:pt idx="32">
                  <c:v>-1.5443117816047458E-2</c:v>
                </c:pt>
                <c:pt idx="33">
                  <c:v>-1.8296180967794395E-2</c:v>
                </c:pt>
                <c:pt idx="34">
                  <c:v>-4.2155313478558054E-2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F-4525-9928-193B1753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250528"/>
        <c:axId val="1"/>
      </c:scatterChart>
      <c:valAx>
        <c:axId val="522250528"/>
        <c:scaling>
          <c:orientation val="minMax"/>
          <c:max val="12000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5450240416522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40000000000000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70962479608482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250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5155789050023"/>
          <c:y val="0.92024539877300615"/>
          <c:w val="0.7536711581525392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UMa - Primary O-C Diagr.</a:t>
            </a:r>
          </a:p>
        </c:rich>
      </c:tx>
      <c:layout>
        <c:manualLayout>
          <c:xMode val="edge"/>
          <c:yMode val="edge"/>
          <c:x val="0.3202619525500488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5708958379542"/>
          <c:y val="0.14769252958613219"/>
          <c:w val="0.8071908305102866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1'!$R$21:$R$990</c:f>
              <c:numCache>
                <c:formatCode>General</c:formatCode>
                <c:ptCount val="970"/>
                <c:pt idx="0">
                  <c:v>7.6531999995495426E-2</c:v>
                </c:pt>
                <c:pt idx="1">
                  <c:v>-1.9339000002219109E-2</c:v>
                </c:pt>
                <c:pt idx="2">
                  <c:v>-2.9291000002558576E-2</c:v>
                </c:pt>
                <c:pt idx="3">
                  <c:v>-7.6876000002812361E-2</c:v>
                </c:pt>
                <c:pt idx="4">
                  <c:v>-5.3646000000298955E-2</c:v>
                </c:pt>
                <c:pt idx="5">
                  <c:v>0.25930199999856995</c:v>
                </c:pt>
                <c:pt idx="6">
                  <c:v>4.6099999999569263E-3</c:v>
                </c:pt>
                <c:pt idx="7">
                  <c:v>-8.6000000002968591E-2</c:v>
                </c:pt>
                <c:pt idx="8">
                  <c:v>6.7767000000458211E-2</c:v>
                </c:pt>
                <c:pt idx="9">
                  <c:v>7.071400000131689E-2</c:v>
                </c:pt>
                <c:pt idx="10">
                  <c:v>-3.3644000002823304E-2</c:v>
                </c:pt>
                <c:pt idx="11">
                  <c:v>0.10430400000041118</c:v>
                </c:pt>
                <c:pt idx="12">
                  <c:v>8.1636999995680526E-2</c:v>
                </c:pt>
                <c:pt idx="13">
                  <c:v>9.650800000235904E-2</c:v>
                </c:pt>
                <c:pt idx="14">
                  <c:v>0.13509999999951106</c:v>
                </c:pt>
                <c:pt idx="15">
                  <c:v>2.4691999999049585E-2</c:v>
                </c:pt>
                <c:pt idx="16">
                  <c:v>3.0025000000023283E-2</c:v>
                </c:pt>
                <c:pt idx="17">
                  <c:v>6.6381999997247476E-2</c:v>
                </c:pt>
                <c:pt idx="18">
                  <c:v>6.8253999997978099E-2</c:v>
                </c:pt>
                <c:pt idx="19">
                  <c:v>6.6740000002027955E-2</c:v>
                </c:pt>
                <c:pt idx="21">
                  <c:v>7.5942000003124122E-2</c:v>
                </c:pt>
                <c:pt idx="22">
                  <c:v>5.616800000279909E-2</c:v>
                </c:pt>
                <c:pt idx="23">
                  <c:v>7.0480999995197635E-2</c:v>
                </c:pt>
                <c:pt idx="24">
                  <c:v>9.9274999993212987E-2</c:v>
                </c:pt>
                <c:pt idx="25">
                  <c:v>7.0117000002937857E-2</c:v>
                </c:pt>
                <c:pt idx="26">
                  <c:v>8.2480999997642357E-2</c:v>
                </c:pt>
                <c:pt idx="27">
                  <c:v>3.5260000004200265E-2</c:v>
                </c:pt>
                <c:pt idx="28">
                  <c:v>1.7898999998578802E-2</c:v>
                </c:pt>
                <c:pt idx="29">
                  <c:v>1.7655000003287569E-2</c:v>
                </c:pt>
                <c:pt idx="30">
                  <c:v>1.4840000003459863E-3</c:v>
                </c:pt>
                <c:pt idx="31">
                  <c:v>-1.2131999996199738E-2</c:v>
                </c:pt>
                <c:pt idx="32">
                  <c:v>-2.169000000867527E-2</c:v>
                </c:pt>
                <c:pt idx="34">
                  <c:v>-2.8815999998187181E-2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9-4D15-8D46-D155835CFA36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0">
                  <c:v>1.0205636820337201</c:v>
                </c:pt>
                <c:pt idx="1">
                  <c:v>0.95967743323489885</c:v>
                </c:pt>
                <c:pt idx="2">
                  <c:v>0.95014632116752418</c:v>
                </c:pt>
                <c:pt idx="3">
                  <c:v>0.94481642297195279</c:v>
                </c:pt>
                <c:pt idx="4">
                  <c:v>0.89653381578854152</c:v>
                </c:pt>
                <c:pt idx="5">
                  <c:v>0.8807322352557887</c:v>
                </c:pt>
                <c:pt idx="6">
                  <c:v>0.82479965654461618</c:v>
                </c:pt>
                <c:pt idx="7">
                  <c:v>0.72384511425202902</c:v>
                </c:pt>
                <c:pt idx="8">
                  <c:v>0.43960477871644033</c:v>
                </c:pt>
                <c:pt idx="9">
                  <c:v>0.35476534037987484</c:v>
                </c:pt>
                <c:pt idx="10">
                  <c:v>0.34485800020457746</c:v>
                </c:pt>
                <c:pt idx="11">
                  <c:v>0.3290564196718247</c:v>
                </c:pt>
                <c:pt idx="12">
                  <c:v>0.30604380040388707</c:v>
                </c:pt>
                <c:pt idx="13">
                  <c:v>0.30422536454892746</c:v>
                </c:pt>
                <c:pt idx="14">
                  <c:v>0.29118279014094101</c:v>
                </c:pt>
                <c:pt idx="15">
                  <c:v>0.27814021573295461</c:v>
                </c:pt>
                <c:pt idx="16">
                  <c:v>0.19242291181123616</c:v>
                </c:pt>
                <c:pt idx="17">
                  <c:v>0.13329239418272076</c:v>
                </c:pt>
                <c:pt idx="18">
                  <c:v>0.13153666301241496</c:v>
                </c:pt>
                <c:pt idx="19">
                  <c:v>0.13065879742726205</c:v>
                </c:pt>
                <c:pt idx="20">
                  <c:v>0.12974957949978216</c:v>
                </c:pt>
                <c:pt idx="21">
                  <c:v>0.10570233293505726</c:v>
                </c:pt>
                <c:pt idx="22">
                  <c:v>9.479171780529938E-2</c:v>
                </c:pt>
                <c:pt idx="23">
                  <c:v>8.306594177504234E-2</c:v>
                </c:pt>
                <c:pt idx="24">
                  <c:v>8.2689713667119635E-2</c:v>
                </c:pt>
                <c:pt idx="25">
                  <c:v>7.9052841957200304E-2</c:v>
                </c:pt>
                <c:pt idx="26">
                  <c:v>7.0525004844286143E-2</c:v>
                </c:pt>
                <c:pt idx="27">
                  <c:v>3.1585395674288197E-2</c:v>
                </c:pt>
                <c:pt idx="28">
                  <c:v>2.148994144502947E-2</c:v>
                </c:pt>
                <c:pt idx="29">
                  <c:v>1.8730935320263153E-2</c:v>
                </c:pt>
                <c:pt idx="30">
                  <c:v>8.0084342444666223E-3</c:v>
                </c:pt>
                <c:pt idx="31">
                  <c:v>-5.5357776407500836E-3</c:v>
                </c:pt>
                <c:pt idx="32">
                  <c:v>-1.5443117816047458E-2</c:v>
                </c:pt>
                <c:pt idx="33">
                  <c:v>-1.8296180967794395E-2</c:v>
                </c:pt>
                <c:pt idx="34">
                  <c:v>-4.2155313478558054E-2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9-4D15-8D46-D155835CF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837368"/>
        <c:axId val="1"/>
      </c:scatterChart>
      <c:valAx>
        <c:axId val="610837368"/>
        <c:scaling>
          <c:orientation val="minMax"/>
          <c:max val="12000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06616574889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40000000000000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83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30072221364486"/>
          <c:y val="0.92000129214617399"/>
          <c:w val="0.2385624345976360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UMa - Secondary O-C Diagr.</a:t>
            </a:r>
          </a:p>
        </c:rich>
      </c:tx>
      <c:layout>
        <c:manualLayout>
          <c:xMode val="edge"/>
          <c:yMode val="edge"/>
          <c:x val="0.3017946247746763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13624810125"/>
          <c:y val="0.14723926380368099"/>
          <c:w val="0.8172926575345520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plus>
            <c:minus>
              <c:numRef>
                <c:f>'Active 1'!$D$21:$D$271</c:f>
                <c:numCache>
                  <c:formatCode>General</c:formatCode>
                  <c:ptCount val="25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3.0000000000000001E-3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2E-3</c:v>
                  </c:pt>
                  <c:pt idx="22">
                    <c:v>8.0000000000000002E-3</c:v>
                  </c:pt>
                  <c:pt idx="23">
                    <c:v>2.0000000000000001E-4</c:v>
                  </c:pt>
                  <c:pt idx="24">
                    <c:v>8.9999999999999993E-3</c:v>
                  </c:pt>
                  <c:pt idx="25">
                    <c:v>1E-3</c:v>
                  </c:pt>
                  <c:pt idx="26">
                    <c:v>7.0000000000000001E-3</c:v>
                  </c:pt>
                  <c:pt idx="27">
                    <c:v>0</c:v>
                  </c:pt>
                  <c:pt idx="28">
                    <c:v>8.0000000000000004E-4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1'!$S$21:$S$990</c:f>
              <c:numCache>
                <c:formatCode>General</c:formatCode>
                <c:ptCount val="970"/>
                <c:pt idx="20">
                  <c:v>7.2975499999301974E-2</c:v>
                </c:pt>
                <c:pt idx="33">
                  <c:v>0.34211449999565957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2-4855-8190-E025AFA1009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-4732</c:v>
                </c:pt>
                <c:pt idx="1">
                  <c:v>-3761</c:v>
                </c:pt>
                <c:pt idx="2">
                  <c:v>-3609</c:v>
                </c:pt>
                <c:pt idx="3">
                  <c:v>-3524</c:v>
                </c:pt>
                <c:pt idx="4">
                  <c:v>-2754</c:v>
                </c:pt>
                <c:pt idx="5">
                  <c:v>-2502</c:v>
                </c:pt>
                <c:pt idx="6">
                  <c:v>-1610</c:v>
                </c:pt>
                <c:pt idx="7">
                  <c:v>0</c:v>
                </c:pt>
                <c:pt idx="8">
                  <c:v>4533</c:v>
                </c:pt>
                <c:pt idx="9">
                  <c:v>5886</c:v>
                </c:pt>
                <c:pt idx="10">
                  <c:v>6044</c:v>
                </c:pt>
                <c:pt idx="11">
                  <c:v>6296</c:v>
                </c:pt>
                <c:pt idx="12">
                  <c:v>6663</c:v>
                </c:pt>
                <c:pt idx="13">
                  <c:v>6692</c:v>
                </c:pt>
                <c:pt idx="14">
                  <c:v>6900</c:v>
                </c:pt>
                <c:pt idx="15">
                  <c:v>7108</c:v>
                </c:pt>
                <c:pt idx="16">
                  <c:v>8475</c:v>
                </c:pt>
                <c:pt idx="17">
                  <c:v>9418</c:v>
                </c:pt>
                <c:pt idx="18">
                  <c:v>9446</c:v>
                </c:pt>
                <c:pt idx="19">
                  <c:v>9460</c:v>
                </c:pt>
                <c:pt idx="20">
                  <c:v>9474.5</c:v>
                </c:pt>
                <c:pt idx="21">
                  <c:v>9858</c:v>
                </c:pt>
                <c:pt idx="22">
                  <c:v>10032</c:v>
                </c:pt>
                <c:pt idx="23">
                  <c:v>10219</c:v>
                </c:pt>
                <c:pt idx="24">
                  <c:v>10225</c:v>
                </c:pt>
                <c:pt idx="25">
                  <c:v>10283</c:v>
                </c:pt>
                <c:pt idx="26">
                  <c:v>10419</c:v>
                </c:pt>
                <c:pt idx="27">
                  <c:v>11040</c:v>
                </c:pt>
                <c:pt idx="28">
                  <c:v>11201</c:v>
                </c:pt>
                <c:pt idx="29">
                  <c:v>11245</c:v>
                </c:pt>
                <c:pt idx="30">
                  <c:v>11416</c:v>
                </c:pt>
                <c:pt idx="31">
                  <c:v>11632</c:v>
                </c:pt>
                <c:pt idx="32">
                  <c:v>11790</c:v>
                </c:pt>
                <c:pt idx="33">
                  <c:v>11835.5</c:v>
                </c:pt>
                <c:pt idx="34">
                  <c:v>12216</c:v>
                </c:pt>
              </c:numCache>
            </c:numRef>
          </c:xVal>
          <c:yVal>
            <c:numRef>
              <c:f>'Active 1'!$P$21:$P$990</c:f>
              <c:numCache>
                <c:formatCode>General</c:formatCode>
                <c:ptCount val="970"/>
                <c:pt idx="0">
                  <c:v>-1.546475242672555</c:v>
                </c:pt>
                <c:pt idx="1">
                  <c:v>-1.4357874116702409</c:v>
                </c:pt>
                <c:pt idx="2">
                  <c:v>-1.4184603773629787</c:v>
                </c:pt>
                <c:pt idx="3">
                  <c:v>-1.4087709173885228</c:v>
                </c:pt>
                <c:pt idx="4">
                  <c:v>-1.3209958093846281</c:v>
                </c:pt>
                <c:pt idx="5">
                  <c:v>-1.2922694104015353</c:v>
                </c:pt>
                <c:pt idx="6">
                  <c:v>-1.1905870774931275</c:v>
                </c:pt>
                <c:pt idx="7">
                  <c:v>-1.0070573062122568</c:v>
                </c:pt>
                <c:pt idx="8">
                  <c:v>-0.49032410545686123</c:v>
                </c:pt>
                <c:pt idx="9">
                  <c:v>-0.33609070139287478</c:v>
                </c:pt>
                <c:pt idx="10">
                  <c:v>-0.31807970520506268</c:v>
                </c:pt>
                <c:pt idx="11">
                  <c:v>-0.28935330622196986</c:v>
                </c:pt>
                <c:pt idx="12">
                  <c:v>-0.24751763786167202</c:v>
                </c:pt>
                <c:pt idx="13">
                  <c:v>-0.24421182210568115</c:v>
                </c:pt>
                <c:pt idx="14">
                  <c:v>-0.22050114357995376</c:v>
                </c:pt>
                <c:pt idx="15">
                  <c:v>-0.19679046505422637</c:v>
                </c:pt>
                <c:pt idx="16">
                  <c:v>-4.096114993562372E-2</c:v>
                </c:pt>
                <c:pt idx="17">
                  <c:v>6.6534858957457699E-2</c:v>
                </c:pt>
                <c:pt idx="18">
                  <c:v>6.972668106669011E-2</c:v>
                </c:pt>
                <c:pt idx="19">
                  <c:v>7.1322592121306538E-2</c:v>
                </c:pt>
                <c:pt idx="20">
                  <c:v>7.2975499999301974E-2</c:v>
                </c:pt>
                <c:pt idx="21">
                  <c:v>0.11669206353111172</c:v>
                </c:pt>
                <c:pt idx="22">
                  <c:v>0.13652695806705673</c:v>
                </c:pt>
                <c:pt idx="23">
                  <c:v>0.1578437700108597</c:v>
                </c:pt>
                <c:pt idx="24">
                  <c:v>0.15852773189140956</c:v>
                </c:pt>
                <c:pt idx="25">
                  <c:v>0.1651393634033913</c:v>
                </c:pt>
                <c:pt idx="26">
                  <c:v>0.18064249936252086</c:v>
                </c:pt>
                <c:pt idx="27">
                  <c:v>0.25143255399942799</c:v>
                </c:pt>
                <c:pt idx="28">
                  <c:v>0.26978553112751502</c:v>
                </c:pt>
                <c:pt idx="29">
                  <c:v>0.27480125158488056</c:v>
                </c:pt>
                <c:pt idx="30">
                  <c:v>0.29429416518055063</c:v>
                </c:pt>
                <c:pt idx="31">
                  <c:v>0.31891679288034447</c:v>
                </c:pt>
                <c:pt idx="32">
                  <c:v>0.33692778906815657</c:v>
                </c:pt>
                <c:pt idx="33">
                  <c:v>0.34211449999565957</c:v>
                </c:pt>
                <c:pt idx="34">
                  <c:v>0.38548908258719439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82-4855-8190-E025AFA10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251248"/>
        <c:axId val="1"/>
      </c:scatterChart>
      <c:valAx>
        <c:axId val="52225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6053829323532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70962479608482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251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598729196370843"/>
          <c:y val="0.92024539877300615"/>
          <c:w val="0.2642742332575475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1</xdr:rowOff>
    </xdr:from>
    <xdr:to>
      <xdr:col>17</xdr:col>
      <xdr:colOff>657224</xdr:colOff>
      <xdr:row>18</xdr:row>
      <xdr:rowOff>133351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2F701C57-C06E-6B6E-C319-F15C67331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28576</xdr:rowOff>
    </xdr:from>
    <xdr:to>
      <xdr:col>27</xdr:col>
      <xdr:colOff>219074</xdr:colOff>
      <xdr:row>18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6FDC3BD-1660-4C8C-AA9B-217FB3AE8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600074</xdr:colOff>
      <xdr:row>20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75C68C-A801-0501-4346-7B28B7DC8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21</xdr:row>
      <xdr:rowOff>95250</xdr:rowOff>
    </xdr:from>
    <xdr:to>
      <xdr:col>11</xdr:col>
      <xdr:colOff>581025</xdr:colOff>
      <xdr:row>41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CBC78E-BF92-5EFD-67A2-C8C2DC4F3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084" TargetMode="External"/><Relationship Id="rId13" Type="http://schemas.openxmlformats.org/officeDocument/2006/relationships/hyperlink" Target="http://www.konkoly.hu/cgi-bin/IBVS?5084" TargetMode="External"/><Relationship Id="rId18" Type="http://schemas.openxmlformats.org/officeDocument/2006/relationships/hyperlink" Target="http://www.konkoly.hu/cgi-bin/IBVS?5592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084" TargetMode="External"/><Relationship Id="rId21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5084" TargetMode="External"/><Relationship Id="rId12" Type="http://schemas.openxmlformats.org/officeDocument/2006/relationships/hyperlink" Target="http://www.konkoly.hu/cgi-bin/IBVS?5084" TargetMode="External"/><Relationship Id="rId17" Type="http://schemas.openxmlformats.org/officeDocument/2006/relationships/hyperlink" Target="http://www.konkoly.hu/cgi-bin/IBVS?5084" TargetMode="External"/><Relationship Id="rId25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084" TargetMode="External"/><Relationship Id="rId16" Type="http://schemas.openxmlformats.org/officeDocument/2006/relationships/hyperlink" Target="http://www.konkoly.hu/cgi-bin/IBVS?5084" TargetMode="External"/><Relationship Id="rId20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5084" TargetMode="External"/><Relationship Id="rId6" Type="http://schemas.openxmlformats.org/officeDocument/2006/relationships/hyperlink" Target="http://www.konkoly.hu/cgi-bin/IBVS?5084" TargetMode="External"/><Relationship Id="rId11" Type="http://schemas.openxmlformats.org/officeDocument/2006/relationships/hyperlink" Target="http://www.konkoly.hu/cgi-bin/IBVS?5084" TargetMode="External"/><Relationship Id="rId24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5084" TargetMode="External"/><Relationship Id="rId15" Type="http://schemas.openxmlformats.org/officeDocument/2006/relationships/hyperlink" Target="http://www.konkoly.hu/cgi-bin/IBVS?5084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konkoly.hu/cgi-bin/IBVS?5084" TargetMode="External"/><Relationship Id="rId19" Type="http://schemas.openxmlformats.org/officeDocument/2006/relationships/hyperlink" Target="http://www.konkoly.hu/cgi-bin/IBVS?5592" TargetMode="External"/><Relationship Id="rId4" Type="http://schemas.openxmlformats.org/officeDocument/2006/relationships/hyperlink" Target="http://www.konkoly.hu/cgi-bin/IBVS?5084" TargetMode="External"/><Relationship Id="rId9" Type="http://schemas.openxmlformats.org/officeDocument/2006/relationships/hyperlink" Target="http://www.konkoly.hu/cgi-bin/IBVS?5084" TargetMode="External"/><Relationship Id="rId14" Type="http://schemas.openxmlformats.org/officeDocument/2006/relationships/hyperlink" Target="http://www.konkoly.hu/cgi-bin/IBVS?5084" TargetMode="External"/><Relationship Id="rId22" Type="http://schemas.openxmlformats.org/officeDocument/2006/relationships/hyperlink" Target="http://www.konkoly.hu/cgi-bin/IBVS?5894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4"/>
  <sheetViews>
    <sheetView tabSelected="1" workbookViewId="0">
      <pane xSplit="13" ySplit="22" topLeftCell="N36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7109375" customWidth="1"/>
    <col min="2" max="2" width="5.140625" customWidth="1"/>
    <col min="3" max="3" width="11.85546875" customWidth="1"/>
    <col min="4" max="4" width="9.42578125" customWidth="1"/>
    <col min="5" max="5" width="17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4" customFormat="1" ht="20.25" x14ac:dyDescent="0.2">
      <c r="A1" s="61" t="s">
        <v>31</v>
      </c>
    </row>
    <row r="2" spans="1:7" s="34" customFormat="1" ht="12.95" customHeight="1" x14ac:dyDescent="0.2">
      <c r="A2" s="34" t="s">
        <v>16</v>
      </c>
      <c r="B2" s="35" t="s">
        <v>30</v>
      </c>
    </row>
    <row r="3" spans="1:7" s="34" customFormat="1" ht="12.95" customHeight="1" x14ac:dyDescent="0.2"/>
    <row r="4" spans="1:7" s="34" customFormat="1" ht="12.95" customHeight="1" thickTop="1" thickBot="1" x14ac:dyDescent="0.25">
      <c r="A4" s="36" t="s">
        <v>0</v>
      </c>
      <c r="C4" s="37" t="s">
        <v>20</v>
      </c>
      <c r="D4" s="38" t="s">
        <v>20</v>
      </c>
    </row>
    <row r="5" spans="1:7" s="34" customFormat="1" ht="12.95" customHeight="1" thickTop="1" x14ac:dyDescent="0.2">
      <c r="A5" s="39" t="s">
        <v>32</v>
      </c>
      <c r="C5" s="40">
        <v>-9.5</v>
      </c>
      <c r="D5" s="34" t="s">
        <v>33</v>
      </c>
    </row>
    <row r="6" spans="1:7" s="34" customFormat="1" ht="12.95" customHeight="1" x14ac:dyDescent="0.2">
      <c r="A6" s="36" t="s">
        <v>1</v>
      </c>
    </row>
    <row r="7" spans="1:7" s="34" customFormat="1" ht="12.95" customHeight="1" x14ac:dyDescent="0.2">
      <c r="A7" s="34" t="s">
        <v>2</v>
      </c>
      <c r="C7" s="34">
        <v>34072.86</v>
      </c>
      <c r="D7" s="34" t="s">
        <v>22</v>
      </c>
    </row>
    <row r="8" spans="1:7" s="34" customFormat="1" ht="12.95" customHeight="1" x14ac:dyDescent="0.2">
      <c r="A8" s="34" t="s">
        <v>3</v>
      </c>
      <c r="C8" s="41">
        <v>1.855901</v>
      </c>
      <c r="D8" s="42">
        <v>5084</v>
      </c>
    </row>
    <row r="9" spans="1:7" s="34" customFormat="1" ht="12.95" customHeight="1" x14ac:dyDescent="0.2">
      <c r="A9" s="43" t="s">
        <v>47</v>
      </c>
      <c r="B9" s="43"/>
      <c r="C9" s="44">
        <v>44</v>
      </c>
      <c r="D9" s="44">
        <v>21</v>
      </c>
    </row>
    <row r="10" spans="1:7" s="34" customFormat="1" ht="12.95" customHeight="1" thickBot="1" x14ac:dyDescent="0.25">
      <c r="C10" s="45" t="s">
        <v>48</v>
      </c>
      <c r="D10" s="45" t="s">
        <v>49</v>
      </c>
    </row>
    <row r="11" spans="1:7" s="34" customFormat="1" ht="12.95" customHeight="1" x14ac:dyDescent="0.2">
      <c r="A11" s="34" t="s">
        <v>13</v>
      </c>
      <c r="C11" s="46">
        <f ca="1">INTERCEPT(INDIRECT(C14):R$935,INDIRECT(C13):$F$935)</f>
        <v>0.72384511425202902</v>
      </c>
      <c r="D11" s="46">
        <f ca="1">INTERCEPT(INDIRECT(D14):S$935,INDIRECT(D13):$F$935)</f>
        <v>-1.0070573062122568</v>
      </c>
      <c r="E11" s="43" t="s">
        <v>41</v>
      </c>
      <c r="F11" s="34">
        <v>1</v>
      </c>
      <c r="G11" s="46" t="str">
        <f>"G"&amp;E19</f>
        <v>G2</v>
      </c>
    </row>
    <row r="12" spans="1:7" s="34" customFormat="1" ht="12.95" customHeight="1" x14ac:dyDescent="0.2">
      <c r="A12" s="34" t="s">
        <v>14</v>
      </c>
      <c r="C12" s="46">
        <f ca="1">SLOPE(INDIRECT(C14):R$935,INDIRECT(C13):$F$935)</f>
        <v>-6.2704684653780868E-5</v>
      </c>
      <c r="D12" s="46">
        <f ca="1">SLOPE(INDIRECT(D14):S$935,INDIRECT(D13):$F$935)</f>
        <v>1.1399364675830478E-4</v>
      </c>
      <c r="E12" s="43" t="s">
        <v>34</v>
      </c>
      <c r="F12" s="47">
        <f ca="1">NOW()+15018.5+$C$5/24</f>
        <v>60378.702557175922</v>
      </c>
    </row>
    <row r="13" spans="1:7" s="34" customFormat="1" ht="12.95" customHeight="1" x14ac:dyDescent="0.2">
      <c r="A13" s="43" t="s">
        <v>50</v>
      </c>
      <c r="B13" s="43"/>
      <c r="C13" s="44" t="str">
        <f>"F"&amp;C9</f>
        <v>F44</v>
      </c>
      <c r="D13" s="44" t="str">
        <f>"F"&amp;D9</f>
        <v>F21</v>
      </c>
      <c r="E13" s="43" t="s">
        <v>42</v>
      </c>
      <c r="F13" s="47">
        <f ca="1">ROUND(2*(F12-$C$7)/$C$8,0)/2+F11</f>
        <v>14175</v>
      </c>
    </row>
    <row r="14" spans="1:7" s="34" customFormat="1" ht="12.95" customHeight="1" x14ac:dyDescent="0.2">
      <c r="A14" s="43" t="s">
        <v>51</v>
      </c>
      <c r="B14" s="43"/>
      <c r="C14" s="44" t="str">
        <f>"R"&amp;C9</f>
        <v>R44</v>
      </c>
      <c r="D14" s="44" t="str">
        <f>"S"&amp;D9</f>
        <v>S21</v>
      </c>
      <c r="E14" s="43" t="s">
        <v>35</v>
      </c>
      <c r="F14" s="46">
        <f ca="1">ROUND(2*(F12-$C$15)/$C$16,0)/2+F11</f>
        <v>1959.5</v>
      </c>
    </row>
    <row r="15" spans="1:7" s="34" customFormat="1" ht="12.95" customHeight="1" x14ac:dyDescent="0.2">
      <c r="A15" s="48" t="s">
        <v>15</v>
      </c>
      <c r="C15" s="49">
        <f ca="1">($C7+C11)+($C8+C12)*INT(MAX($F21:$F3533))</f>
        <v>56744.504460686527</v>
      </c>
      <c r="D15" s="49">
        <f ca="1">($C7+D11)+($C8+D12)*INT(MAX($F21:$F3533))</f>
        <v>56744.932105082589</v>
      </c>
      <c r="E15" s="43" t="s">
        <v>36</v>
      </c>
      <c r="F15" s="50">
        <f ca="1">+$C$15+$C$16*F14-15018.5-$C$5/24</f>
        <v>45362.915433690287</v>
      </c>
    </row>
    <row r="16" spans="1:7" s="34" customFormat="1" ht="12.95" customHeight="1" x14ac:dyDescent="0.2">
      <c r="A16" s="36" t="s">
        <v>4</v>
      </c>
      <c r="C16" s="51">
        <f ca="1">+$C8+C12</f>
        <v>1.8558382953153463</v>
      </c>
      <c r="D16" s="46">
        <f ca="1">+$C8+D12</f>
        <v>1.8560149936467583</v>
      </c>
      <c r="E16" s="52"/>
      <c r="F16" s="52" t="s">
        <v>37</v>
      </c>
    </row>
    <row r="17" spans="1:19" s="34" customFormat="1" ht="12.95" customHeight="1" thickBot="1" x14ac:dyDescent="0.25">
      <c r="A17" s="43" t="s">
        <v>52</v>
      </c>
      <c r="C17" s="34">
        <f>COUNT(C21:C1247)</f>
        <v>35</v>
      </c>
    </row>
    <row r="18" spans="1:19" s="34" customFormat="1" ht="12.95" customHeight="1" thickTop="1" thickBot="1" x14ac:dyDescent="0.25">
      <c r="A18" s="36" t="s">
        <v>53</v>
      </c>
      <c r="C18" s="53">
        <f ca="1">+C15</f>
        <v>56744.504460686527</v>
      </c>
      <c r="D18" s="54">
        <f ca="1">+C16</f>
        <v>1.8558382953153463</v>
      </c>
      <c r="E18" s="55">
        <f>R19</f>
        <v>33</v>
      </c>
    </row>
    <row r="19" spans="1:19" s="34" customFormat="1" ht="12.95" customHeight="1" thickTop="1" thickBot="1" x14ac:dyDescent="0.25">
      <c r="A19" s="36" t="s">
        <v>54</v>
      </c>
      <c r="C19" s="53">
        <f ca="1">+D15</f>
        <v>56744.932105082589</v>
      </c>
      <c r="D19" s="54">
        <f ca="1">+D16</f>
        <v>1.8560149936467583</v>
      </c>
      <c r="E19" s="55">
        <f>S19</f>
        <v>2</v>
      </c>
      <c r="R19" s="34">
        <f>COUNT(R21:R322)</f>
        <v>33</v>
      </c>
      <c r="S19" s="34">
        <f>COUNT(S21:S322)</f>
        <v>2</v>
      </c>
    </row>
    <row r="20" spans="1:19" s="34" customFormat="1" ht="12.95" customHeight="1" thickTop="1" thickBot="1" x14ac:dyDescent="0.25">
      <c r="A20" s="45" t="s">
        <v>5</v>
      </c>
      <c r="B20" s="45" t="s">
        <v>6</v>
      </c>
      <c r="C20" s="45" t="s">
        <v>7</v>
      </c>
      <c r="D20" s="45" t="s">
        <v>11</v>
      </c>
      <c r="E20" s="45" t="s">
        <v>8</v>
      </c>
      <c r="F20" s="45" t="s">
        <v>9</v>
      </c>
      <c r="G20" s="45" t="s">
        <v>10</v>
      </c>
      <c r="H20" s="56" t="s">
        <v>23</v>
      </c>
      <c r="I20" s="56" t="s">
        <v>67</v>
      </c>
      <c r="J20" s="56" t="s">
        <v>188</v>
      </c>
      <c r="K20" s="56" t="s">
        <v>60</v>
      </c>
      <c r="L20" s="56" t="s">
        <v>17</v>
      </c>
      <c r="M20" s="56" t="s">
        <v>18</v>
      </c>
      <c r="N20" s="56" t="s">
        <v>19</v>
      </c>
      <c r="O20" s="56" t="s">
        <v>55</v>
      </c>
      <c r="P20" s="57" t="s">
        <v>56</v>
      </c>
      <c r="Q20" s="45" t="s">
        <v>12</v>
      </c>
      <c r="R20" s="58" t="s">
        <v>48</v>
      </c>
      <c r="S20" s="58" t="s">
        <v>49</v>
      </c>
    </row>
    <row r="21" spans="1:19" s="34" customFormat="1" ht="12.95" customHeight="1" x14ac:dyDescent="0.2">
      <c r="A21" s="34" t="s">
        <v>21</v>
      </c>
      <c r="C21" s="59">
        <v>25290.812999999998</v>
      </c>
      <c r="D21" s="59" t="s">
        <v>23</v>
      </c>
      <c r="E21" s="34">
        <f>+(C21-C$7)/C$8</f>
        <v>-4731.9587628865993</v>
      </c>
      <c r="F21" s="34">
        <f>ROUND(2*E21,0)/2</f>
        <v>-4732</v>
      </c>
      <c r="G21" s="34">
        <f>+C21-(C$7+F21*C$8)</f>
        <v>7.6531999995495426E-2</v>
      </c>
      <c r="H21" s="34">
        <f>+G21</f>
        <v>7.6531999995495426E-2</v>
      </c>
      <c r="O21" s="34">
        <f ca="1">+C$11+C$12*$F21</f>
        <v>1.0205636820337201</v>
      </c>
      <c r="P21" s="34">
        <f ca="1">+D$11+D$12*$F21</f>
        <v>-1.546475242672555</v>
      </c>
      <c r="Q21" s="60">
        <f>+C21-15018.5</f>
        <v>10272.312999999998</v>
      </c>
      <c r="R21" s="34">
        <f>G21</f>
        <v>7.6531999995495426E-2</v>
      </c>
    </row>
    <row r="22" spans="1:19" s="34" customFormat="1" ht="12.95" customHeight="1" x14ac:dyDescent="0.2">
      <c r="A22" s="34" t="s">
        <v>21</v>
      </c>
      <c r="C22" s="59">
        <v>27092.796999999999</v>
      </c>
      <c r="D22" s="59" t="s">
        <v>23</v>
      </c>
      <c r="E22" s="34">
        <f>+(C22-C$7)/C$8</f>
        <v>-3761.0104202756515</v>
      </c>
      <c r="F22" s="34">
        <f>ROUND(2*E22,0)/2</f>
        <v>-3761</v>
      </c>
      <c r="G22" s="34">
        <f>+C22-(C$7+F22*C$8)</f>
        <v>-1.9339000002219109E-2</v>
      </c>
      <c r="H22" s="34">
        <f>+G22</f>
        <v>-1.9339000002219109E-2</v>
      </c>
      <c r="O22" s="34">
        <f ca="1">+C$11+C$12*$F22</f>
        <v>0.95967743323489885</v>
      </c>
      <c r="P22" s="34">
        <f ca="1">+D$11+D$12*$F22</f>
        <v>-1.4357874116702409</v>
      </c>
      <c r="Q22" s="60">
        <f>+C22-15018.5</f>
        <v>12074.296999999999</v>
      </c>
      <c r="R22" s="34">
        <f>G22</f>
        <v>-1.9339000002219109E-2</v>
      </c>
    </row>
    <row r="23" spans="1:19" s="34" customFormat="1" ht="12.95" customHeight="1" x14ac:dyDescent="0.2">
      <c r="A23" s="34" t="s">
        <v>21</v>
      </c>
      <c r="C23" s="59">
        <v>27374.883999999998</v>
      </c>
      <c r="D23" s="59" t="s">
        <v>23</v>
      </c>
      <c r="E23" s="34">
        <f>+(C23-C$7)/C$8</f>
        <v>-3609.0157826306481</v>
      </c>
      <c r="F23" s="34">
        <f>ROUND(2*E23,0)/2</f>
        <v>-3609</v>
      </c>
      <c r="G23" s="34">
        <f>+C23-(C$7+F23*C$8)</f>
        <v>-2.9291000002558576E-2</v>
      </c>
      <c r="H23" s="34">
        <f>+G23</f>
        <v>-2.9291000002558576E-2</v>
      </c>
      <c r="O23" s="34">
        <f ca="1">+C$11+C$12*$F23</f>
        <v>0.95014632116752418</v>
      </c>
      <c r="P23" s="34">
        <f ca="1">+D$11+D$12*$F23</f>
        <v>-1.4184603773629787</v>
      </c>
      <c r="Q23" s="60">
        <f>+C23-15018.5</f>
        <v>12356.383999999998</v>
      </c>
      <c r="R23" s="34">
        <f>G23</f>
        <v>-2.9291000002558576E-2</v>
      </c>
    </row>
    <row r="24" spans="1:19" s="34" customFormat="1" ht="12.95" customHeight="1" x14ac:dyDescent="0.2">
      <c r="A24" s="34" t="s">
        <v>21</v>
      </c>
      <c r="C24" s="59">
        <v>27532.588</v>
      </c>
      <c r="D24" s="59" t="s">
        <v>23</v>
      </c>
      <c r="E24" s="34">
        <f>+(C24-C$7)/C$8</f>
        <v>-3524.0414224681172</v>
      </c>
      <c r="F24" s="34">
        <f>ROUND(2*E24,0)/2</f>
        <v>-3524</v>
      </c>
      <c r="G24" s="34">
        <f>+C24-(C$7+F24*C$8)</f>
        <v>-7.6876000002812361E-2</v>
      </c>
      <c r="H24" s="34">
        <f>+G24</f>
        <v>-7.6876000002812361E-2</v>
      </c>
      <c r="O24" s="34">
        <f ca="1">+C$11+C$12*$F24</f>
        <v>0.94481642297195279</v>
      </c>
      <c r="P24" s="34">
        <f ca="1">+D$11+D$12*$F24</f>
        <v>-1.4087709173885228</v>
      </c>
      <c r="Q24" s="60">
        <f>+C24-15018.5</f>
        <v>12514.088</v>
      </c>
      <c r="R24" s="34">
        <f>G24</f>
        <v>-7.6876000002812361E-2</v>
      </c>
    </row>
    <row r="25" spans="1:19" s="34" customFormat="1" ht="12.95" customHeight="1" x14ac:dyDescent="0.2">
      <c r="A25" s="34" t="s">
        <v>21</v>
      </c>
      <c r="C25" s="59">
        <v>28961.654999999999</v>
      </c>
      <c r="D25" s="59" t="s">
        <v>23</v>
      </c>
      <c r="E25" s="34">
        <f>+(C25-C$7)/C$8</f>
        <v>-2754.0289056366701</v>
      </c>
      <c r="F25" s="34">
        <f>ROUND(2*E25,0)/2</f>
        <v>-2754</v>
      </c>
      <c r="G25" s="34">
        <f>+C25-(C$7+F25*C$8)</f>
        <v>-5.3646000000298955E-2</v>
      </c>
      <c r="H25" s="34">
        <f>+G25</f>
        <v>-5.3646000000298955E-2</v>
      </c>
      <c r="O25" s="34">
        <f ca="1">+C$11+C$12*$F25</f>
        <v>0.89653381578854152</v>
      </c>
      <c r="P25" s="34">
        <f ca="1">+D$11+D$12*$F25</f>
        <v>-1.3209958093846281</v>
      </c>
      <c r="Q25" s="60">
        <f>+C25-15018.5</f>
        <v>13943.154999999999</v>
      </c>
      <c r="R25" s="34">
        <f>G25</f>
        <v>-5.3646000000298955E-2</v>
      </c>
    </row>
    <row r="26" spans="1:19" s="34" customFormat="1" ht="12.95" customHeight="1" x14ac:dyDescent="0.2">
      <c r="A26" s="34" t="s">
        <v>21</v>
      </c>
      <c r="C26" s="59">
        <v>29429.654999999999</v>
      </c>
      <c r="D26" s="59" t="s">
        <v>23</v>
      </c>
      <c r="E26" s="34">
        <f>+(C26-C$7)/C$8</f>
        <v>-2501.8602824180825</v>
      </c>
      <c r="F26" s="34">
        <f>ROUND(2*E26,0)/2</f>
        <v>-2502</v>
      </c>
      <c r="G26" s="34">
        <f>+C26-(C$7+F26*C$8)</f>
        <v>0.25930199999856995</v>
      </c>
      <c r="H26" s="34">
        <f>+G26</f>
        <v>0.25930199999856995</v>
      </c>
      <c r="O26" s="34">
        <f ca="1">+C$11+C$12*$F26</f>
        <v>0.8807322352557887</v>
      </c>
      <c r="P26" s="34">
        <f ca="1">+D$11+D$12*$F26</f>
        <v>-1.2922694104015353</v>
      </c>
      <c r="Q26" s="60">
        <f>+C26-15018.5</f>
        <v>14411.154999999999</v>
      </c>
      <c r="R26" s="34">
        <f>G26</f>
        <v>0.25930199999856995</v>
      </c>
    </row>
    <row r="27" spans="1:19" s="34" customFormat="1" ht="12.95" customHeight="1" x14ac:dyDescent="0.2">
      <c r="A27" s="34" t="s">
        <v>21</v>
      </c>
      <c r="C27" s="59">
        <v>31084.864000000001</v>
      </c>
      <c r="D27" s="59" t="s">
        <v>23</v>
      </c>
      <c r="E27" s="34">
        <f>+(C27-C$7)/C$8</f>
        <v>-1609.9975160312965</v>
      </c>
      <c r="F27" s="34">
        <f>ROUND(2*E27,0)/2</f>
        <v>-1610</v>
      </c>
      <c r="G27" s="34">
        <f>+C27-(C$7+F27*C$8)</f>
        <v>4.6099999999569263E-3</v>
      </c>
      <c r="H27" s="34">
        <f>+G27</f>
        <v>4.6099999999569263E-3</v>
      </c>
      <c r="O27" s="34">
        <f ca="1">+C$11+C$12*$F27</f>
        <v>0.82479965654461618</v>
      </c>
      <c r="P27" s="34">
        <f ca="1">+D$11+D$12*$F27</f>
        <v>-1.1905870774931275</v>
      </c>
      <c r="Q27" s="60">
        <f>+C27-15018.5</f>
        <v>16066.364000000001</v>
      </c>
      <c r="R27" s="34">
        <f>G27</f>
        <v>4.6099999999569263E-3</v>
      </c>
    </row>
    <row r="28" spans="1:19" s="34" customFormat="1" ht="12.95" customHeight="1" x14ac:dyDescent="0.2">
      <c r="A28" s="34" t="s">
        <v>21</v>
      </c>
      <c r="C28" s="59">
        <v>34072.773999999998</v>
      </c>
      <c r="D28" s="59" t="s">
        <v>23</v>
      </c>
      <c r="E28" s="34">
        <f>+(C28-C$7)/C$8</f>
        <v>-4.6338678627237437E-2</v>
      </c>
      <c r="F28" s="34">
        <f>ROUND(2*E28,0)/2</f>
        <v>0</v>
      </c>
      <c r="G28" s="34">
        <f>+C28-(C$7+F28*C$8)</f>
        <v>-8.6000000002968591E-2</v>
      </c>
      <c r="H28" s="34">
        <f>+G28</f>
        <v>-8.6000000002968591E-2</v>
      </c>
      <c r="O28" s="34">
        <f ca="1">+C$11+C$12*$F28</f>
        <v>0.72384511425202902</v>
      </c>
      <c r="P28" s="34">
        <f ca="1">+D$11+D$12*$F28</f>
        <v>-1.0070573062122568</v>
      </c>
      <c r="Q28" s="60">
        <f>+C28-15018.5</f>
        <v>19054.273999999998</v>
      </c>
      <c r="R28" s="34">
        <f>G28</f>
        <v>-8.6000000002968591E-2</v>
      </c>
    </row>
    <row r="29" spans="1:19" s="34" customFormat="1" ht="12.95" customHeight="1" x14ac:dyDescent="0.2">
      <c r="A29" s="34" t="s">
        <v>21</v>
      </c>
      <c r="C29" s="59">
        <v>42485.726999999999</v>
      </c>
      <c r="D29" s="59" t="s">
        <v>23</v>
      </c>
      <c r="E29" s="34">
        <f>+(C29-C$7)/C$8</f>
        <v>4533.036514339934</v>
      </c>
      <c r="F29" s="34">
        <f>ROUND(2*E29,0)/2</f>
        <v>4533</v>
      </c>
      <c r="G29" s="34">
        <f>+C29-(C$7+F29*C$8)</f>
        <v>6.7767000000458211E-2</v>
      </c>
      <c r="H29" s="34">
        <f>+G29</f>
        <v>6.7767000000458211E-2</v>
      </c>
      <c r="O29" s="34">
        <f ca="1">+C$11+C$12*$F29</f>
        <v>0.43960477871644033</v>
      </c>
      <c r="P29" s="34">
        <f ca="1">+D$11+D$12*$F29</f>
        <v>-0.49032410545686123</v>
      </c>
      <c r="Q29" s="60">
        <f>+C29-15018.5</f>
        <v>27467.226999999999</v>
      </c>
      <c r="R29" s="34">
        <f>G29</f>
        <v>6.7767000000458211E-2</v>
      </c>
    </row>
    <row r="30" spans="1:19" s="34" customFormat="1" ht="12.95" customHeight="1" x14ac:dyDescent="0.2">
      <c r="A30" s="34" t="s">
        <v>21</v>
      </c>
      <c r="C30" s="59">
        <v>44996.764000000003</v>
      </c>
      <c r="D30" s="59" t="s">
        <v>23</v>
      </c>
      <c r="E30" s="34">
        <f>+(C30-C$7)/C$8</f>
        <v>5886.0381022479123</v>
      </c>
      <c r="F30" s="34">
        <f>ROUND(2*E30,0)/2</f>
        <v>5886</v>
      </c>
      <c r="G30" s="34">
        <f>+C30-(C$7+F30*C$8)</f>
        <v>7.071400000131689E-2</v>
      </c>
      <c r="H30" s="34">
        <f>+G30</f>
        <v>7.071400000131689E-2</v>
      </c>
      <c r="O30" s="34">
        <f ca="1">+C$11+C$12*$F30</f>
        <v>0.35476534037987484</v>
      </c>
      <c r="P30" s="34">
        <f ca="1">+D$11+D$12*$F30</f>
        <v>-0.33609070139287478</v>
      </c>
      <c r="Q30" s="60">
        <f>+C30-15018.5</f>
        <v>29978.264000000003</v>
      </c>
      <c r="R30" s="34">
        <f>G30</f>
        <v>7.071400000131689E-2</v>
      </c>
    </row>
    <row r="31" spans="1:19" s="34" customFormat="1" ht="12.95" customHeight="1" x14ac:dyDescent="0.2">
      <c r="A31" s="34" t="s">
        <v>21</v>
      </c>
      <c r="C31" s="59">
        <v>45289.892</v>
      </c>
      <c r="D31" s="59" t="s">
        <v>23</v>
      </c>
      <c r="E31" s="34">
        <f>+(C31-C$7)/C$8</f>
        <v>6043.9818718778633</v>
      </c>
      <c r="F31" s="34">
        <f>ROUND(2*E31,0)/2</f>
        <v>6044</v>
      </c>
      <c r="G31" s="34">
        <f>+C31-(C$7+F31*C$8)</f>
        <v>-3.3644000002823304E-2</v>
      </c>
      <c r="H31" s="34">
        <f>+G31</f>
        <v>-3.3644000002823304E-2</v>
      </c>
      <c r="O31" s="34">
        <f ca="1">+C$11+C$12*$F31</f>
        <v>0.34485800020457746</v>
      </c>
      <c r="P31" s="34">
        <f ca="1">+D$11+D$12*$F31</f>
        <v>-0.31807970520506268</v>
      </c>
      <c r="Q31" s="60">
        <f>+C31-15018.5</f>
        <v>30271.392</v>
      </c>
      <c r="R31" s="34">
        <f>G31</f>
        <v>-3.3644000002823304E-2</v>
      </c>
    </row>
    <row r="32" spans="1:19" s="34" customFormat="1" ht="12.95" customHeight="1" x14ac:dyDescent="0.2">
      <c r="A32" s="34" t="s">
        <v>21</v>
      </c>
      <c r="C32" s="59">
        <v>45757.716999999997</v>
      </c>
      <c r="D32" s="59" t="s">
        <v>23</v>
      </c>
      <c r="E32" s="34">
        <f>+(C32-C$7)/C$8</f>
        <v>6296.0562012736655</v>
      </c>
      <c r="F32" s="34">
        <f>ROUND(2*E32,0)/2</f>
        <v>6296</v>
      </c>
      <c r="G32" s="34">
        <f>+C32-(C$7+F32*C$8)</f>
        <v>0.10430400000041118</v>
      </c>
      <c r="H32" s="34">
        <f>+G32</f>
        <v>0.10430400000041118</v>
      </c>
      <c r="O32" s="34">
        <f ca="1">+C$11+C$12*$F32</f>
        <v>0.3290564196718247</v>
      </c>
      <c r="P32" s="34">
        <f ca="1">+D$11+D$12*$F32</f>
        <v>-0.28935330622196986</v>
      </c>
      <c r="Q32" s="60">
        <f>+C32-15018.5</f>
        <v>30739.216999999997</v>
      </c>
      <c r="R32" s="34">
        <f>G32</f>
        <v>0.10430400000041118</v>
      </c>
    </row>
    <row r="33" spans="1:19" s="34" customFormat="1" ht="12.95" customHeight="1" x14ac:dyDescent="0.2">
      <c r="A33" s="34" t="s">
        <v>21</v>
      </c>
      <c r="C33" s="59">
        <v>46438.81</v>
      </c>
      <c r="D33" s="59" t="s">
        <v>23</v>
      </c>
      <c r="E33" s="34">
        <f>+(C33-C$7)/C$8</f>
        <v>6663.0439877989165</v>
      </c>
      <c r="F33" s="34">
        <f>ROUND(2*E33,0)/2</f>
        <v>6663</v>
      </c>
      <c r="G33" s="34">
        <f>+C33-(C$7+F33*C$8)</f>
        <v>8.1636999995680526E-2</v>
      </c>
      <c r="H33" s="34">
        <f>+G33</f>
        <v>8.1636999995680526E-2</v>
      </c>
      <c r="O33" s="34">
        <f ca="1">+C$11+C$12*$F33</f>
        <v>0.30604380040388707</v>
      </c>
      <c r="P33" s="34">
        <f ca="1">+D$11+D$12*$F33</f>
        <v>-0.24751763786167202</v>
      </c>
      <c r="Q33" s="60">
        <f>+C33-15018.5</f>
        <v>31420.309999999998</v>
      </c>
      <c r="R33" s="34">
        <f>G33</f>
        <v>8.1636999995680526E-2</v>
      </c>
    </row>
    <row r="34" spans="1:19" s="34" customFormat="1" ht="12.95" customHeight="1" x14ac:dyDescent="0.2">
      <c r="A34" s="34" t="s">
        <v>21</v>
      </c>
      <c r="C34" s="59">
        <v>46492.646000000001</v>
      </c>
      <c r="D34" s="59" t="s">
        <v>23</v>
      </c>
      <c r="E34" s="34">
        <f>+(C34-C$7)/C$8</f>
        <v>6692.052000618567</v>
      </c>
      <c r="F34" s="34">
        <f>ROUND(2*E34,0)/2</f>
        <v>6692</v>
      </c>
      <c r="G34" s="34">
        <f>+C34-(C$7+F34*C$8)</f>
        <v>9.650800000235904E-2</v>
      </c>
      <c r="H34" s="34">
        <f>+G34</f>
        <v>9.650800000235904E-2</v>
      </c>
      <c r="O34" s="34">
        <f ca="1">+C$11+C$12*$F34</f>
        <v>0.30422536454892746</v>
      </c>
      <c r="P34" s="34">
        <f ca="1">+D$11+D$12*$F34</f>
        <v>-0.24421182210568115</v>
      </c>
      <c r="Q34" s="60">
        <f>+C34-15018.5</f>
        <v>31474.146000000001</v>
      </c>
      <c r="R34" s="34">
        <f>G34</f>
        <v>9.650800000235904E-2</v>
      </c>
    </row>
    <row r="35" spans="1:19" s="34" customFormat="1" ht="12.95" customHeight="1" x14ac:dyDescent="0.2">
      <c r="A35" s="34" t="s">
        <v>21</v>
      </c>
      <c r="C35" s="59">
        <v>46878.712</v>
      </c>
      <c r="D35" s="59" t="s">
        <v>23</v>
      </c>
      <c r="E35" s="34">
        <f>+(C35-C$7)/C$8</f>
        <v>6900.0727948311887</v>
      </c>
      <c r="F35" s="34">
        <f>ROUND(2*E35,0)/2</f>
        <v>6900</v>
      </c>
      <c r="G35" s="34">
        <f>+C35-(C$7+F35*C$8)</f>
        <v>0.13509999999951106</v>
      </c>
      <c r="H35" s="34">
        <f>+G35</f>
        <v>0.13509999999951106</v>
      </c>
      <c r="O35" s="34">
        <f ca="1">+C$11+C$12*$F35</f>
        <v>0.29118279014094101</v>
      </c>
      <c r="P35" s="34">
        <f ca="1">+D$11+D$12*$F35</f>
        <v>-0.22050114357995376</v>
      </c>
      <c r="Q35" s="60">
        <f>+C35-15018.5</f>
        <v>31860.212</v>
      </c>
      <c r="R35" s="34">
        <f>G35</f>
        <v>0.13509999999951106</v>
      </c>
    </row>
    <row r="36" spans="1:19" x14ac:dyDescent="0.2">
      <c r="A36" t="s">
        <v>21</v>
      </c>
      <c r="C36" s="5">
        <v>47264.629000000001</v>
      </c>
      <c r="D36" s="5" t="s">
        <v>23</v>
      </c>
      <c r="E36">
        <f>+(C36-C$7)/C$8</f>
        <v>7108.0133045889843</v>
      </c>
      <c r="F36">
        <f>ROUND(2*E36,0)/2</f>
        <v>7108</v>
      </c>
      <c r="G36">
        <f>+C36-(C$7+F36*C$8)</f>
        <v>2.4691999999049585E-2</v>
      </c>
      <c r="H36">
        <f>+G36</f>
        <v>2.4691999999049585E-2</v>
      </c>
      <c r="O36">
        <f ca="1">+C$11+C$12*$F36</f>
        <v>0.27814021573295461</v>
      </c>
      <c r="P36">
        <f ca="1">+D$11+D$12*$F36</f>
        <v>-0.19679046505422637</v>
      </c>
      <c r="Q36" s="1">
        <f>+C36-15018.5</f>
        <v>32246.129000000001</v>
      </c>
      <c r="R36">
        <f>G36</f>
        <v>2.4691999999049585E-2</v>
      </c>
    </row>
    <row r="37" spans="1:19" x14ac:dyDescent="0.2">
      <c r="A37" t="s">
        <v>21</v>
      </c>
      <c r="B37" s="2"/>
      <c r="C37" s="5">
        <v>49801.650999999998</v>
      </c>
      <c r="D37" s="5" t="s">
        <v>23</v>
      </c>
      <c r="E37">
        <f>+(C37-C$7)/C$8</f>
        <v>8475.0161781258794</v>
      </c>
      <c r="F37">
        <f>ROUND(2*E37,0)/2</f>
        <v>8475</v>
      </c>
      <c r="G37">
        <f>+C37-(C$7+F37*C$8)</f>
        <v>3.0025000000023283E-2</v>
      </c>
      <c r="H37">
        <f>+G37</f>
        <v>3.0025000000023283E-2</v>
      </c>
      <c r="O37">
        <f ca="1">+C$11+C$12*$F37</f>
        <v>0.19242291181123616</v>
      </c>
      <c r="P37">
        <f ca="1">+D$11+D$12*$F37</f>
        <v>-4.096114993562372E-2</v>
      </c>
      <c r="Q37" s="1">
        <f>+C37-15018.5</f>
        <v>34783.150999999998</v>
      </c>
      <c r="R37">
        <f>G37</f>
        <v>3.0025000000023283E-2</v>
      </c>
    </row>
    <row r="38" spans="1:19" x14ac:dyDescent="0.2">
      <c r="A38" t="s">
        <v>27</v>
      </c>
      <c r="B38" s="2" t="s">
        <v>25</v>
      </c>
      <c r="C38" s="5">
        <v>51551.802000000003</v>
      </c>
      <c r="D38" s="5">
        <v>3.0000000000000001E-3</v>
      </c>
      <c r="E38">
        <f>+(C38-C$7)/C$8</f>
        <v>9418.0357680716825</v>
      </c>
      <c r="F38">
        <f>ROUND(2*E38,0)/2</f>
        <v>9418</v>
      </c>
      <c r="G38">
        <f>+C38-(C$7+F38*C$8)</f>
        <v>6.6381999997247476E-2</v>
      </c>
      <c r="J38">
        <f>+G38</f>
        <v>6.6381999997247476E-2</v>
      </c>
      <c r="O38">
        <f ca="1">+C$11+C$12*$F38</f>
        <v>0.13329239418272076</v>
      </c>
      <c r="P38">
        <f ca="1">+D$11+D$12*$F38</f>
        <v>6.6534858957457699E-2</v>
      </c>
      <c r="Q38" s="1">
        <f>+C38-15018.5</f>
        <v>36533.302000000003</v>
      </c>
      <c r="R38">
        <f>G38</f>
        <v>6.6381999997247476E-2</v>
      </c>
    </row>
    <row r="39" spans="1:19" x14ac:dyDescent="0.2">
      <c r="A39" t="s">
        <v>27</v>
      </c>
      <c r="B39" s="2" t="s">
        <v>25</v>
      </c>
      <c r="C39" s="5">
        <v>51603.769099999998</v>
      </c>
      <c r="D39" s="5">
        <v>1E-4</v>
      </c>
      <c r="E39">
        <f>+(C39-C$7)/C$8</f>
        <v>9446.0367767461721</v>
      </c>
      <c r="F39">
        <f>ROUND(2*E39,0)/2</f>
        <v>9446</v>
      </c>
      <c r="G39">
        <f>+C39-(C$7+F39*C$8)</f>
        <v>6.8253999997978099E-2</v>
      </c>
      <c r="J39">
        <f>+G39</f>
        <v>6.8253999997978099E-2</v>
      </c>
      <c r="O39">
        <f ca="1">+C$11+C$12*$F39</f>
        <v>0.13153666301241496</v>
      </c>
      <c r="P39">
        <f ca="1">+D$11+D$12*$F39</f>
        <v>6.972668106669011E-2</v>
      </c>
      <c r="Q39" s="1">
        <f>+C39-15018.5</f>
        <v>36585.269099999998</v>
      </c>
      <c r="R39">
        <f>G39</f>
        <v>6.8253999997978099E-2</v>
      </c>
    </row>
    <row r="40" spans="1:19" x14ac:dyDescent="0.2">
      <c r="A40" t="s">
        <v>27</v>
      </c>
      <c r="B40" s="2" t="s">
        <v>25</v>
      </c>
      <c r="C40" s="5">
        <v>51629.750200000002</v>
      </c>
      <c r="D40" s="5">
        <v>2.0000000000000001E-4</v>
      </c>
      <c r="E40">
        <f>+(C40-C$7)/C$8</f>
        <v>9460.0359609699008</v>
      </c>
      <c r="F40">
        <f>ROUND(2*E40,0)/2</f>
        <v>9460</v>
      </c>
      <c r="G40">
        <f>+C40-(C$7+F40*C$8)</f>
        <v>6.6740000002027955E-2</v>
      </c>
      <c r="J40">
        <f>+G40</f>
        <v>6.6740000002027955E-2</v>
      </c>
      <c r="O40">
        <f ca="1">+C$11+C$12*$F40</f>
        <v>0.13065879742726205</v>
      </c>
      <c r="P40">
        <f ca="1">+D$11+D$12*$F40</f>
        <v>7.1322592121306538E-2</v>
      </c>
      <c r="Q40" s="1">
        <f>+C40-15018.5</f>
        <v>36611.250200000002</v>
      </c>
      <c r="R40">
        <f>G40</f>
        <v>6.6740000002027955E-2</v>
      </c>
    </row>
    <row r="41" spans="1:19" x14ac:dyDescent="0.2">
      <c r="A41" t="s">
        <v>27</v>
      </c>
      <c r="B41" s="2" t="s">
        <v>26</v>
      </c>
      <c r="C41" s="5">
        <v>51656.667000000001</v>
      </c>
      <c r="D41" s="5">
        <v>2E-3</v>
      </c>
      <c r="E41">
        <f>+(C41-C$7)/C$8</f>
        <v>9474.5393207935122</v>
      </c>
      <c r="F41">
        <f>ROUND(2*E41,0)/2</f>
        <v>9474.5</v>
      </c>
      <c r="G41">
        <f>+C41-(C$7+F41*C$8)</f>
        <v>7.2975499999301974E-2</v>
      </c>
      <c r="J41">
        <f>+G41</f>
        <v>7.2975499999301974E-2</v>
      </c>
      <c r="O41">
        <f ca="1">+C$11+C$12*$F41</f>
        <v>0.12974957949978216</v>
      </c>
      <c r="P41">
        <f ca="1">+D$11+D$12*$F41</f>
        <v>7.2975499999301974E-2</v>
      </c>
      <c r="Q41" s="1">
        <f>+C41-15018.5</f>
        <v>36638.167000000001</v>
      </c>
      <c r="S41">
        <f>G41</f>
        <v>7.2975499999301974E-2</v>
      </c>
    </row>
    <row r="42" spans="1:19" x14ac:dyDescent="0.2">
      <c r="A42" t="s">
        <v>24</v>
      </c>
      <c r="B42" s="2"/>
      <c r="C42" s="5">
        <v>52368.408000000003</v>
      </c>
      <c r="D42" s="6"/>
      <c r="E42">
        <f>+(C42-C$7)/C$8</f>
        <v>9858.0409192085153</v>
      </c>
      <c r="F42">
        <f>ROUND(2*E42,0)/2</f>
        <v>9858</v>
      </c>
      <c r="G42">
        <f>+C42-(C$7+F42*C$8)</f>
        <v>7.5942000003124122E-2</v>
      </c>
      <c r="J42">
        <f>+G42</f>
        <v>7.5942000003124122E-2</v>
      </c>
      <c r="O42">
        <f ca="1">+C$11+C$12*$F42</f>
        <v>0.10570233293505726</v>
      </c>
      <c r="P42">
        <f ca="1">+D$11+D$12*$F42</f>
        <v>0.11669206353111172</v>
      </c>
      <c r="Q42" s="1">
        <f>+C42-15018.5</f>
        <v>37349.908000000003</v>
      </c>
      <c r="R42">
        <f>G42</f>
        <v>7.5942000003124122E-2</v>
      </c>
    </row>
    <row r="43" spans="1:19" x14ac:dyDescent="0.2">
      <c r="A43" s="9" t="s">
        <v>38</v>
      </c>
      <c r="B43" s="8" t="s">
        <v>25</v>
      </c>
      <c r="C43" s="9">
        <v>52691.315000000002</v>
      </c>
      <c r="D43" s="9">
        <v>8.0000000000000002E-3</v>
      </c>
      <c r="E43">
        <f>+(C43-C$7)/C$8</f>
        <v>10032.030264545361</v>
      </c>
      <c r="F43">
        <f>ROUND(2*E43,0)/2</f>
        <v>10032</v>
      </c>
      <c r="G43">
        <f>+C43-(C$7+F43*C$8)</f>
        <v>5.616800000279909E-2</v>
      </c>
      <c r="K43">
        <f>+G43</f>
        <v>5.616800000279909E-2</v>
      </c>
      <c r="O43">
        <f ca="1">+C$11+C$12*$F43</f>
        <v>9.479171780529938E-2</v>
      </c>
      <c r="P43">
        <f ca="1">+D$11+D$12*$F43</f>
        <v>0.13652695806705673</v>
      </c>
      <c r="Q43" s="1">
        <f>+C43-15018.5</f>
        <v>37672.815000000002</v>
      </c>
      <c r="R43">
        <f>G43</f>
        <v>5.616800000279909E-2</v>
      </c>
    </row>
    <row r="44" spans="1:19" x14ac:dyDescent="0.2">
      <c r="A44" s="4" t="s">
        <v>28</v>
      </c>
      <c r="B44" s="8" t="s">
        <v>25</v>
      </c>
      <c r="C44" s="9">
        <v>53038.382799999999</v>
      </c>
      <c r="D44" s="10">
        <v>2.0000000000000001E-4</v>
      </c>
      <c r="E44">
        <f>+(C44-C$7)/C$8</f>
        <v>10219.037976702421</v>
      </c>
      <c r="F44">
        <f>ROUND(2*E44,0)/2</f>
        <v>10219</v>
      </c>
      <c r="G44">
        <f>+C44-(C$7+F44*C$8)</f>
        <v>7.0480999995197635E-2</v>
      </c>
      <c r="K44">
        <f>+G44</f>
        <v>7.0480999995197635E-2</v>
      </c>
      <c r="O44">
        <f ca="1">+C$11+C$12*$F44</f>
        <v>8.306594177504234E-2</v>
      </c>
      <c r="P44">
        <f ca="1">+D$11+D$12*$F44</f>
        <v>0.1578437700108597</v>
      </c>
      <c r="Q44" s="1">
        <f>+C44-15018.5</f>
        <v>38019.882799999999</v>
      </c>
      <c r="R44">
        <f>G44</f>
        <v>7.0480999995197635E-2</v>
      </c>
    </row>
    <row r="45" spans="1:19" x14ac:dyDescent="0.2">
      <c r="A45" s="4" t="s">
        <v>29</v>
      </c>
      <c r="B45" s="11" t="s">
        <v>25</v>
      </c>
      <c r="C45" s="9">
        <v>53049.546999999999</v>
      </c>
      <c r="D45" s="12">
        <v>8.9999999999999993E-3</v>
      </c>
      <c r="E45" s="13">
        <f>+(C45-C$7)/C$8</f>
        <v>10225.053491538611</v>
      </c>
      <c r="F45">
        <f>ROUND(2*E45,0)/2</f>
        <v>10225</v>
      </c>
      <c r="G45">
        <f>+C45-(C$7+F45*C$8)</f>
        <v>9.9274999993212987E-2</v>
      </c>
      <c r="K45">
        <f>+G45</f>
        <v>9.9274999993212987E-2</v>
      </c>
      <c r="O45">
        <f ca="1">+C$11+C$12*$F45</f>
        <v>8.2689713667119635E-2</v>
      </c>
      <c r="P45">
        <f ca="1">+D$11+D$12*$F45</f>
        <v>0.15852773189140956</v>
      </c>
      <c r="Q45" s="1">
        <f>+C45-15018.5</f>
        <v>38031.046999999999</v>
      </c>
      <c r="R45">
        <f>G45</f>
        <v>9.9274999993212987E-2</v>
      </c>
    </row>
    <row r="46" spans="1:19" x14ac:dyDescent="0.2">
      <c r="A46" s="4" t="s">
        <v>28</v>
      </c>
      <c r="B46" s="8"/>
      <c r="C46" s="9">
        <v>53157.160100000001</v>
      </c>
      <c r="D46" s="9">
        <v>1E-3</v>
      </c>
      <c r="E46" s="13">
        <f>+(C46-C$7)/C$8</f>
        <v>10283.037780571271</v>
      </c>
      <c r="F46">
        <f>ROUND(2*E46,0)/2</f>
        <v>10283</v>
      </c>
      <c r="G46">
        <f>+C46-(C$7+F46*C$8)</f>
        <v>7.0117000002937857E-2</v>
      </c>
      <c r="K46">
        <f>+G46</f>
        <v>7.0117000002937857E-2</v>
      </c>
      <c r="O46">
        <f ca="1">+C$11+C$12*$F46</f>
        <v>7.9052841957200304E-2</v>
      </c>
      <c r="P46">
        <f ca="1">+D$11+D$12*$F46</f>
        <v>0.1651393634033913</v>
      </c>
      <c r="Q46" s="1">
        <f>+C46-15018.5</f>
        <v>38138.660100000001</v>
      </c>
      <c r="R46">
        <f>G46</f>
        <v>7.0117000002937857E-2</v>
      </c>
    </row>
    <row r="47" spans="1:19" x14ac:dyDescent="0.2">
      <c r="A47" s="4" t="s">
        <v>45</v>
      </c>
      <c r="B47" s="11" t="s">
        <v>25</v>
      </c>
      <c r="C47" s="4">
        <v>53409.574999999997</v>
      </c>
      <c r="D47" s="4">
        <v>7.0000000000000001E-3</v>
      </c>
      <c r="E47" s="13">
        <f>+(C47-C$7)/C$8</f>
        <v>10419.044442564553</v>
      </c>
      <c r="F47">
        <f>ROUND(2*E47,0)/2</f>
        <v>10419</v>
      </c>
      <c r="G47">
        <f>+C47-(C$7+F47*C$8)</f>
        <v>8.2480999997642357E-2</v>
      </c>
      <c r="K47">
        <f>+G47</f>
        <v>8.2480999997642357E-2</v>
      </c>
      <c r="O47">
        <f ca="1">+C$11+C$12*$F47</f>
        <v>7.0525004844286143E-2</v>
      </c>
      <c r="P47">
        <f ca="1">+D$11+D$12*$F47</f>
        <v>0.18064249936252086</v>
      </c>
      <c r="Q47" s="1">
        <f>+C47-15018.5</f>
        <v>38391.074999999997</v>
      </c>
      <c r="R47">
        <f>G47</f>
        <v>8.2480999997642357E-2</v>
      </c>
    </row>
    <row r="48" spans="1:19" x14ac:dyDescent="0.2">
      <c r="A48" s="31" t="s">
        <v>152</v>
      </c>
      <c r="B48" s="33" t="s">
        <v>25</v>
      </c>
      <c r="C48" s="32">
        <v>54562.042300000001</v>
      </c>
      <c r="D48" s="32" t="s">
        <v>67</v>
      </c>
      <c r="E48" s="13">
        <f>+(C48-C$7)/C$8</f>
        <v>11040.018998858237</v>
      </c>
      <c r="F48">
        <f>ROUND(2*E48,0)/2</f>
        <v>11040</v>
      </c>
      <c r="G48">
        <f>+C48-(C$7+F48*C$8)</f>
        <v>3.5260000004200265E-2</v>
      </c>
      <c r="I48">
        <f>+G48</f>
        <v>3.5260000004200265E-2</v>
      </c>
      <c r="O48">
        <f ca="1">+C$11+C$12*$F48</f>
        <v>3.1585395674288197E-2</v>
      </c>
      <c r="P48">
        <f ca="1">+D$11+D$12*$F48</f>
        <v>0.25143255399942799</v>
      </c>
      <c r="Q48" s="1">
        <f>+C48-15018.5</f>
        <v>39543.542300000001</v>
      </c>
      <c r="R48">
        <f>G48</f>
        <v>3.5260000004200265E-2</v>
      </c>
    </row>
    <row r="49" spans="1:19" x14ac:dyDescent="0.2">
      <c r="A49" s="9" t="s">
        <v>39</v>
      </c>
      <c r="B49" s="8" t="s">
        <v>25</v>
      </c>
      <c r="C49" s="9">
        <v>54860.824999999997</v>
      </c>
      <c r="D49" s="9">
        <v>8.0000000000000004E-4</v>
      </c>
      <c r="E49" s="13">
        <f>+(C49-C$7)/C$8</f>
        <v>11201.009644372192</v>
      </c>
      <c r="F49">
        <f>ROUND(2*E49,0)/2</f>
        <v>11201</v>
      </c>
      <c r="G49">
        <f>+C49-(C$7+F49*C$8)</f>
        <v>1.7898999998578802E-2</v>
      </c>
      <c r="K49">
        <f>+G49</f>
        <v>1.7898999998578802E-2</v>
      </c>
      <c r="O49">
        <f ca="1">+C$11+C$12*$F49</f>
        <v>2.148994144502947E-2</v>
      </c>
      <c r="P49">
        <f ca="1">+D$11+D$12*$F49</f>
        <v>0.26978553112751502</v>
      </c>
      <c r="Q49" s="1">
        <f>+C49-15018.5</f>
        <v>39842.324999999997</v>
      </c>
      <c r="R49">
        <f>G49</f>
        <v>1.7898999998578802E-2</v>
      </c>
    </row>
    <row r="50" spans="1:19" x14ac:dyDescent="0.2">
      <c r="A50" s="4" t="s">
        <v>43</v>
      </c>
      <c r="B50" s="11" t="s">
        <v>25</v>
      </c>
      <c r="C50" s="4">
        <v>54942.484400000001</v>
      </c>
      <c r="D50" s="4">
        <v>4.0000000000000002E-4</v>
      </c>
      <c r="E50" s="13">
        <f>+(C50-C$7)/C$8</f>
        <v>11245.009512899665</v>
      </c>
      <c r="F50">
        <f>ROUND(2*E50,0)/2</f>
        <v>11245</v>
      </c>
      <c r="G50">
        <f>+C50-(C$7+F50*C$8)</f>
        <v>1.7655000003287569E-2</v>
      </c>
      <c r="K50">
        <f>+G50</f>
        <v>1.7655000003287569E-2</v>
      </c>
      <c r="O50">
        <f ca="1">+C$11+C$12*$F50</f>
        <v>1.8730935320263153E-2</v>
      </c>
      <c r="P50">
        <f ca="1">+D$11+D$12*$F50</f>
        <v>0.27480125158488056</v>
      </c>
      <c r="Q50" s="1">
        <f>+C50-15018.5</f>
        <v>39923.984400000001</v>
      </c>
      <c r="R50">
        <f>G50</f>
        <v>1.7655000003287569E-2</v>
      </c>
    </row>
    <row r="51" spans="1:19" x14ac:dyDescent="0.2">
      <c r="A51" s="4" t="s">
        <v>40</v>
      </c>
      <c r="B51" s="11" t="s">
        <v>25</v>
      </c>
      <c r="C51" s="4">
        <v>55259.827299999997</v>
      </c>
      <c r="D51" s="4">
        <v>1E-3</v>
      </c>
      <c r="E51" s="13">
        <f>+(C51-C$7)/C$8</f>
        <v>11416.000799611615</v>
      </c>
      <c r="F51">
        <f>ROUND(2*E51,0)/2</f>
        <v>11416</v>
      </c>
      <c r="G51">
        <f>+C51-(C$7+F51*C$8)</f>
        <v>1.4840000003459863E-3</v>
      </c>
      <c r="K51">
        <f>+G51</f>
        <v>1.4840000003459863E-3</v>
      </c>
      <c r="O51">
        <f ca="1">+C$11+C$12*$F51</f>
        <v>8.0084342444666223E-3</v>
      </c>
      <c r="P51">
        <f ca="1">+D$11+D$12*$F51</f>
        <v>0.29429416518055063</v>
      </c>
      <c r="Q51" s="1">
        <f>+C51-15018.5</f>
        <v>40241.327299999997</v>
      </c>
      <c r="R51">
        <f>G51</f>
        <v>1.4840000003459863E-3</v>
      </c>
    </row>
    <row r="52" spans="1:19" x14ac:dyDescent="0.2">
      <c r="A52" s="4" t="s">
        <v>44</v>
      </c>
      <c r="B52" s="11" t="s">
        <v>25</v>
      </c>
      <c r="C52" s="4">
        <v>55660.688300000002</v>
      </c>
      <c r="D52" s="4">
        <v>2.9999999999999997E-4</v>
      </c>
      <c r="E52" s="13">
        <f>+(C52-C$7)/C$8</f>
        <v>11631.993463013383</v>
      </c>
      <c r="F52">
        <f>ROUND(2*E52,0)/2</f>
        <v>11632</v>
      </c>
      <c r="G52">
        <f>+C52-(C$7+F52*C$8)</f>
        <v>-1.2131999996199738E-2</v>
      </c>
      <c r="K52">
        <f>+G52</f>
        <v>-1.2131999996199738E-2</v>
      </c>
      <c r="O52">
        <f ca="1">+C$11+C$12*$F52</f>
        <v>-5.5357776407500836E-3</v>
      </c>
      <c r="P52">
        <f ca="1">+D$11+D$12*$F52</f>
        <v>0.31891679288034447</v>
      </c>
      <c r="Q52" s="1">
        <f>+C52-15018.5</f>
        <v>40642.188300000002</v>
      </c>
      <c r="R52">
        <f>G52</f>
        <v>-1.2131999996199738E-2</v>
      </c>
    </row>
    <row r="53" spans="1:19" x14ac:dyDescent="0.2">
      <c r="A53" s="14" t="s">
        <v>46</v>
      </c>
      <c r="B53" s="15" t="s">
        <v>25</v>
      </c>
      <c r="C53" s="14">
        <v>55953.911099999998</v>
      </c>
      <c r="D53" s="14">
        <v>5.0000000000000001E-4</v>
      </c>
      <c r="E53" s="13">
        <f>+(C53-C$7)/C$8</f>
        <v>11789.988312954192</v>
      </c>
      <c r="F53">
        <f>ROUND(2*E53,0)/2</f>
        <v>11790</v>
      </c>
      <c r="G53">
        <f>+C53-(C$7+F53*C$8)</f>
        <v>-2.169000000867527E-2</v>
      </c>
      <c r="K53">
        <f>+G53</f>
        <v>-2.169000000867527E-2</v>
      </c>
      <c r="O53">
        <f ca="1">+C$11+C$12*$F53</f>
        <v>-1.5443117816047458E-2</v>
      </c>
      <c r="P53">
        <f ca="1">+D$11+D$12*$F53</f>
        <v>0.33692778906815657</v>
      </c>
      <c r="Q53" s="1">
        <f>+C53-15018.5</f>
        <v>40935.411099999998</v>
      </c>
      <c r="R53">
        <f>G53</f>
        <v>-2.169000000867527E-2</v>
      </c>
    </row>
    <row r="54" spans="1:19" x14ac:dyDescent="0.2">
      <c r="A54" s="14" t="s">
        <v>46</v>
      </c>
      <c r="B54" s="15" t="s">
        <v>25</v>
      </c>
      <c r="C54" s="14">
        <v>56038.718399999998</v>
      </c>
      <c r="D54" s="14">
        <v>2.9999999999999997E-4</v>
      </c>
      <c r="E54" s="13">
        <f>+(C54-C$7)/C$8</f>
        <v>11835.684338765914</v>
      </c>
      <c r="F54">
        <f>ROUND(2*E54,0)/2</f>
        <v>11835.5</v>
      </c>
      <c r="G54">
        <f>+C54-(C$7+F54*C$8)</f>
        <v>0.34211449999565957</v>
      </c>
      <c r="K54">
        <f>+G54</f>
        <v>0.34211449999565957</v>
      </c>
      <c r="O54">
        <f ca="1">+C$11+C$12*$F54</f>
        <v>-1.8296180967794395E-2</v>
      </c>
      <c r="P54">
        <f ca="1">+D$11+D$12*$F54</f>
        <v>0.34211449999565957</v>
      </c>
      <c r="Q54" s="1">
        <f>+C54-15018.5</f>
        <v>41020.218399999998</v>
      </c>
      <c r="S54">
        <f>G54</f>
        <v>0.34211449999565957</v>
      </c>
    </row>
    <row r="55" spans="1:19" x14ac:dyDescent="0.2">
      <c r="A55" s="16" t="s">
        <v>57</v>
      </c>
      <c r="B55" s="17" t="s">
        <v>25</v>
      </c>
      <c r="C55" s="16">
        <v>56744.517800000001</v>
      </c>
      <c r="D55" s="16">
        <v>2.8999999999999998E-3</v>
      </c>
      <c r="E55" s="13">
        <f>+(C55-C$7)/C$8</f>
        <v>12215.984473309729</v>
      </c>
      <c r="F55">
        <f>ROUND(2*E55,0)/2</f>
        <v>12216</v>
      </c>
      <c r="G55">
        <f>+C55-(C$7+F55*C$8)</f>
        <v>-2.8815999998187181E-2</v>
      </c>
      <c r="K55">
        <f>+G55</f>
        <v>-2.8815999998187181E-2</v>
      </c>
      <c r="O55">
        <f ca="1">+C$11+C$12*$F55</f>
        <v>-4.2155313478558054E-2</v>
      </c>
      <c r="P55">
        <f ca="1">+D$11+D$12*$F55</f>
        <v>0.38548908258719439</v>
      </c>
      <c r="Q55" s="1">
        <f>+C55-15018.5</f>
        <v>41726.017800000001</v>
      </c>
      <c r="R55">
        <f>G55</f>
        <v>-2.8815999998187181E-2</v>
      </c>
    </row>
    <row r="56" spans="1:19" x14ac:dyDescent="0.2">
      <c r="C56" s="5"/>
      <c r="D56" s="5"/>
    </row>
    <row r="57" spans="1:19" x14ac:dyDescent="0.2">
      <c r="C57" s="5"/>
      <c r="D57" s="5"/>
    </row>
    <row r="58" spans="1:19" x14ac:dyDescent="0.2">
      <c r="C58" s="5"/>
      <c r="D58" s="5"/>
    </row>
    <row r="59" spans="1:19" x14ac:dyDescent="0.2">
      <c r="C59" s="5"/>
      <c r="D59" s="5"/>
    </row>
    <row r="60" spans="1:19" x14ac:dyDescent="0.2">
      <c r="C60" s="5"/>
      <c r="D60" s="5"/>
    </row>
    <row r="61" spans="1:19" x14ac:dyDescent="0.2">
      <c r="C61" s="5"/>
      <c r="D61" s="5"/>
    </row>
    <row r="62" spans="1:19" x14ac:dyDescent="0.2">
      <c r="C62" s="5"/>
      <c r="D62" s="5"/>
    </row>
    <row r="63" spans="1:19" x14ac:dyDescent="0.2">
      <c r="C63" s="5"/>
      <c r="D63" s="5"/>
    </row>
    <row r="64" spans="1:19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</sheetData>
  <sortState xmlns:xlrd2="http://schemas.microsoft.com/office/spreadsheetml/2017/richdata2" ref="A21:AG61">
    <sortCondition ref="C21:C61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workbookViewId="0">
      <selection activeCell="A40" sqref="A40:D40"/>
    </sheetView>
  </sheetViews>
  <sheetFormatPr defaultRowHeight="12.75" x14ac:dyDescent="0.2"/>
  <cols>
    <col min="1" max="1" width="19.7109375" style="3" customWidth="1"/>
    <col min="2" max="2" width="4.42578125" style="7" customWidth="1"/>
    <col min="3" max="3" width="12.7109375" style="3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3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8" t="s">
        <v>58</v>
      </c>
      <c r="I1" s="19" t="s">
        <v>59</v>
      </c>
      <c r="J1" s="20" t="s">
        <v>60</v>
      </c>
    </row>
    <row r="2" spans="1:16" x14ac:dyDescent="0.2">
      <c r="I2" s="21" t="s">
        <v>61</v>
      </c>
      <c r="J2" s="22" t="s">
        <v>62</v>
      </c>
    </row>
    <row r="3" spans="1:16" x14ac:dyDescent="0.2">
      <c r="A3" s="23" t="s">
        <v>63</v>
      </c>
      <c r="I3" s="21" t="s">
        <v>64</v>
      </c>
      <c r="J3" s="22" t="s">
        <v>23</v>
      </c>
    </row>
    <row r="4" spans="1:16" x14ac:dyDescent="0.2">
      <c r="I4" s="21" t="s">
        <v>65</v>
      </c>
      <c r="J4" s="22" t="s">
        <v>23</v>
      </c>
    </row>
    <row r="5" spans="1:16" ht="13.5" thickBot="1" x14ac:dyDescent="0.25">
      <c r="I5" s="24" t="s">
        <v>66</v>
      </c>
      <c r="J5" s="25" t="s">
        <v>67</v>
      </c>
    </row>
    <row r="10" spans="1:16" ht="13.5" thickBot="1" x14ac:dyDescent="0.25"/>
    <row r="11" spans="1:16" ht="12.75" customHeight="1" thickBot="1" x14ac:dyDescent="0.25">
      <c r="A11" s="3" t="str">
        <f t="shared" ref="A11:A40" si="0">P11</f>
        <v>IBVS 5084 </v>
      </c>
      <c r="B11" s="2" t="str">
        <f t="shared" ref="B11:B40" si="1">IF(H11=INT(H11),"I","II")</f>
        <v>I</v>
      </c>
      <c r="C11" s="3">
        <f t="shared" ref="C11:C40" si="2">1*G11</f>
        <v>25290.812999999998</v>
      </c>
      <c r="D11" s="7" t="str">
        <f t="shared" ref="D11:D40" si="3">VLOOKUP(F11,I$1:J$5,2,FALSE)</f>
        <v>vis</v>
      </c>
      <c r="E11" s="26">
        <f>VLOOKUP(C11,'Active 1'!C$21:E$973,3,FALSE)</f>
        <v>-4731.9587628865993</v>
      </c>
      <c r="F11" s="2" t="s">
        <v>66</v>
      </c>
      <c r="G11" s="7" t="str">
        <f t="shared" ref="G11:G40" si="4">MID(I11,3,LEN(I11)-3)</f>
        <v>25290.813</v>
      </c>
      <c r="H11" s="3">
        <f t="shared" ref="H11:H40" si="5">1*K11</f>
        <v>-14661</v>
      </c>
      <c r="I11" s="27" t="s">
        <v>68</v>
      </c>
      <c r="J11" s="28" t="s">
        <v>69</v>
      </c>
      <c r="K11" s="27">
        <v>-14661</v>
      </c>
      <c r="L11" s="27" t="s">
        <v>70</v>
      </c>
      <c r="M11" s="28" t="s">
        <v>71</v>
      </c>
      <c r="N11" s="28"/>
      <c r="O11" s="29" t="s">
        <v>72</v>
      </c>
      <c r="P11" s="30" t="s">
        <v>73</v>
      </c>
    </row>
    <row r="12" spans="1:16" ht="12.75" customHeight="1" thickBot="1" x14ac:dyDescent="0.25">
      <c r="A12" s="3" t="str">
        <f t="shared" si="0"/>
        <v>IBVS 5084 </v>
      </c>
      <c r="B12" s="2" t="str">
        <f t="shared" si="1"/>
        <v>I</v>
      </c>
      <c r="C12" s="3">
        <f t="shared" si="2"/>
        <v>27092.796999999999</v>
      </c>
      <c r="D12" s="7" t="str">
        <f t="shared" si="3"/>
        <v>vis</v>
      </c>
      <c r="E12" s="26">
        <f>VLOOKUP(C12,'Active 1'!C$21:E$973,3,FALSE)</f>
        <v>-3761.0104202756515</v>
      </c>
      <c r="F12" s="2" t="s">
        <v>66</v>
      </c>
      <c r="G12" s="7" t="str">
        <f t="shared" si="4"/>
        <v>27092.797</v>
      </c>
      <c r="H12" s="3">
        <f t="shared" si="5"/>
        <v>-13690</v>
      </c>
      <c r="I12" s="27" t="s">
        <v>74</v>
      </c>
      <c r="J12" s="28" t="s">
        <v>75</v>
      </c>
      <c r="K12" s="27">
        <v>-13690</v>
      </c>
      <c r="L12" s="27" t="s">
        <v>76</v>
      </c>
      <c r="M12" s="28" t="s">
        <v>71</v>
      </c>
      <c r="N12" s="28"/>
      <c r="O12" s="29" t="s">
        <v>72</v>
      </c>
      <c r="P12" s="30" t="s">
        <v>73</v>
      </c>
    </row>
    <row r="13" spans="1:16" ht="12.75" customHeight="1" thickBot="1" x14ac:dyDescent="0.25">
      <c r="A13" s="3" t="str">
        <f t="shared" si="0"/>
        <v>IBVS 5084 </v>
      </c>
      <c r="B13" s="2" t="str">
        <f t="shared" si="1"/>
        <v>I</v>
      </c>
      <c r="C13" s="3">
        <f t="shared" si="2"/>
        <v>27374.883999999998</v>
      </c>
      <c r="D13" s="7" t="str">
        <f t="shared" si="3"/>
        <v>vis</v>
      </c>
      <c r="E13" s="26">
        <f>VLOOKUP(C13,'Active 1'!C$21:E$973,3,FALSE)</f>
        <v>-3609.0157826306481</v>
      </c>
      <c r="F13" s="2" t="s">
        <v>66</v>
      </c>
      <c r="G13" s="7" t="str">
        <f t="shared" si="4"/>
        <v>27374.884</v>
      </c>
      <c r="H13" s="3">
        <f t="shared" si="5"/>
        <v>-13538</v>
      </c>
      <c r="I13" s="27" t="s">
        <v>77</v>
      </c>
      <c r="J13" s="28" t="s">
        <v>78</v>
      </c>
      <c r="K13" s="27">
        <v>-13538</v>
      </c>
      <c r="L13" s="27" t="s">
        <v>79</v>
      </c>
      <c r="M13" s="28" t="s">
        <v>71</v>
      </c>
      <c r="N13" s="28"/>
      <c r="O13" s="29" t="s">
        <v>72</v>
      </c>
      <c r="P13" s="30" t="s">
        <v>73</v>
      </c>
    </row>
    <row r="14" spans="1:16" ht="12.75" customHeight="1" thickBot="1" x14ac:dyDescent="0.25">
      <c r="A14" s="3" t="str">
        <f t="shared" si="0"/>
        <v>IBVS 5084 </v>
      </c>
      <c r="B14" s="2" t="str">
        <f t="shared" si="1"/>
        <v>I</v>
      </c>
      <c r="C14" s="3">
        <f t="shared" si="2"/>
        <v>27532.588</v>
      </c>
      <c r="D14" s="7" t="str">
        <f t="shared" si="3"/>
        <v>vis</v>
      </c>
      <c r="E14" s="26">
        <f>VLOOKUP(C14,'Active 1'!C$21:E$973,3,FALSE)</f>
        <v>-3524.0414224681172</v>
      </c>
      <c r="F14" s="2" t="s">
        <v>66</v>
      </c>
      <c r="G14" s="7" t="str">
        <f t="shared" si="4"/>
        <v>27532.588</v>
      </c>
      <c r="H14" s="3">
        <f t="shared" si="5"/>
        <v>-13453</v>
      </c>
      <c r="I14" s="27" t="s">
        <v>80</v>
      </c>
      <c r="J14" s="28" t="s">
        <v>81</v>
      </c>
      <c r="K14" s="27">
        <v>-13453</v>
      </c>
      <c r="L14" s="27" t="s">
        <v>82</v>
      </c>
      <c r="M14" s="28" t="s">
        <v>71</v>
      </c>
      <c r="N14" s="28"/>
      <c r="O14" s="29" t="s">
        <v>72</v>
      </c>
      <c r="P14" s="30" t="s">
        <v>73</v>
      </c>
    </row>
    <row r="15" spans="1:16" ht="12.75" customHeight="1" thickBot="1" x14ac:dyDescent="0.25">
      <c r="A15" s="3" t="str">
        <f t="shared" si="0"/>
        <v>IBVS 5084 </v>
      </c>
      <c r="B15" s="2" t="str">
        <f t="shared" si="1"/>
        <v>I</v>
      </c>
      <c r="C15" s="3">
        <f t="shared" si="2"/>
        <v>28961.654999999999</v>
      </c>
      <c r="D15" s="7" t="str">
        <f t="shared" si="3"/>
        <v>vis</v>
      </c>
      <c r="E15" s="26">
        <f>VLOOKUP(C15,'Active 1'!C$21:E$973,3,FALSE)</f>
        <v>-2754.0289056366701</v>
      </c>
      <c r="F15" s="2" t="s">
        <v>66</v>
      </c>
      <c r="G15" s="7" t="str">
        <f t="shared" si="4"/>
        <v>28961.655</v>
      </c>
      <c r="H15" s="3">
        <f t="shared" si="5"/>
        <v>-12683</v>
      </c>
      <c r="I15" s="27" t="s">
        <v>83</v>
      </c>
      <c r="J15" s="28" t="s">
        <v>84</v>
      </c>
      <c r="K15" s="27">
        <v>-12683</v>
      </c>
      <c r="L15" s="27" t="s">
        <v>85</v>
      </c>
      <c r="M15" s="28" t="s">
        <v>71</v>
      </c>
      <c r="N15" s="28"/>
      <c r="O15" s="29" t="s">
        <v>72</v>
      </c>
      <c r="P15" s="30" t="s">
        <v>73</v>
      </c>
    </row>
    <row r="16" spans="1:16" ht="12.75" customHeight="1" thickBot="1" x14ac:dyDescent="0.25">
      <c r="A16" s="3" t="str">
        <f t="shared" si="0"/>
        <v>IBVS 5084 </v>
      </c>
      <c r="B16" s="2" t="str">
        <f t="shared" si="1"/>
        <v>I</v>
      </c>
      <c r="C16" s="3">
        <f t="shared" si="2"/>
        <v>29429.654999999999</v>
      </c>
      <c r="D16" s="7" t="str">
        <f t="shared" si="3"/>
        <v>vis</v>
      </c>
      <c r="E16" s="26">
        <f>VLOOKUP(C16,'Active 1'!C$21:E$973,3,FALSE)</f>
        <v>-2501.8602824180825</v>
      </c>
      <c r="F16" s="2" t="s">
        <v>66</v>
      </c>
      <c r="G16" s="7" t="str">
        <f t="shared" si="4"/>
        <v>29429.655</v>
      </c>
      <c r="H16" s="3">
        <f t="shared" si="5"/>
        <v>-12431</v>
      </c>
      <c r="I16" s="27" t="s">
        <v>86</v>
      </c>
      <c r="J16" s="28" t="s">
        <v>87</v>
      </c>
      <c r="K16" s="27">
        <v>-12431</v>
      </c>
      <c r="L16" s="27" t="s">
        <v>88</v>
      </c>
      <c r="M16" s="28" t="s">
        <v>71</v>
      </c>
      <c r="N16" s="28"/>
      <c r="O16" s="29" t="s">
        <v>72</v>
      </c>
      <c r="P16" s="30" t="s">
        <v>73</v>
      </c>
    </row>
    <row r="17" spans="1:16" ht="12.75" customHeight="1" thickBot="1" x14ac:dyDescent="0.25">
      <c r="A17" s="3" t="str">
        <f t="shared" si="0"/>
        <v>IBVS 5084 </v>
      </c>
      <c r="B17" s="2" t="str">
        <f t="shared" si="1"/>
        <v>I</v>
      </c>
      <c r="C17" s="3">
        <f t="shared" si="2"/>
        <v>31084.864000000001</v>
      </c>
      <c r="D17" s="7" t="str">
        <f t="shared" si="3"/>
        <v>vis</v>
      </c>
      <c r="E17" s="26">
        <f>VLOOKUP(C17,'Active 1'!C$21:E$973,3,FALSE)</f>
        <v>-1609.9975160312965</v>
      </c>
      <c r="F17" s="2" t="s">
        <v>66</v>
      </c>
      <c r="G17" s="7" t="str">
        <f t="shared" si="4"/>
        <v>31084.864</v>
      </c>
      <c r="H17" s="3">
        <f t="shared" si="5"/>
        <v>-11539</v>
      </c>
      <c r="I17" s="27" t="s">
        <v>89</v>
      </c>
      <c r="J17" s="28" t="s">
        <v>90</v>
      </c>
      <c r="K17" s="27">
        <v>-11539</v>
      </c>
      <c r="L17" s="27" t="s">
        <v>91</v>
      </c>
      <c r="M17" s="28" t="s">
        <v>71</v>
      </c>
      <c r="N17" s="28"/>
      <c r="O17" s="29" t="s">
        <v>72</v>
      </c>
      <c r="P17" s="30" t="s">
        <v>73</v>
      </c>
    </row>
    <row r="18" spans="1:16" ht="12.75" customHeight="1" thickBot="1" x14ac:dyDescent="0.25">
      <c r="A18" s="3" t="str">
        <f t="shared" si="0"/>
        <v>IBVS 5084 </v>
      </c>
      <c r="B18" s="2" t="str">
        <f t="shared" si="1"/>
        <v>I</v>
      </c>
      <c r="C18" s="3">
        <f t="shared" si="2"/>
        <v>34072.773999999998</v>
      </c>
      <c r="D18" s="7" t="str">
        <f t="shared" si="3"/>
        <v>vis</v>
      </c>
      <c r="E18" s="26">
        <f>VLOOKUP(C18,'Active 1'!C$21:E$973,3,FALSE)</f>
        <v>-4.6338678627237437E-2</v>
      </c>
      <c r="F18" s="2" t="s">
        <v>66</v>
      </c>
      <c r="G18" s="7" t="str">
        <f t="shared" si="4"/>
        <v>34072.774</v>
      </c>
      <c r="H18" s="3">
        <f t="shared" si="5"/>
        <v>-9929</v>
      </c>
      <c r="I18" s="27" t="s">
        <v>92</v>
      </c>
      <c r="J18" s="28" t="s">
        <v>93</v>
      </c>
      <c r="K18" s="27">
        <v>-9929</v>
      </c>
      <c r="L18" s="27" t="s">
        <v>94</v>
      </c>
      <c r="M18" s="28" t="s">
        <v>71</v>
      </c>
      <c r="N18" s="28"/>
      <c r="O18" s="29" t="s">
        <v>72</v>
      </c>
      <c r="P18" s="30" t="s">
        <v>73</v>
      </c>
    </row>
    <row r="19" spans="1:16" ht="12.75" customHeight="1" thickBot="1" x14ac:dyDescent="0.25">
      <c r="A19" s="3" t="str">
        <f t="shared" si="0"/>
        <v>IBVS 5084 </v>
      </c>
      <c r="B19" s="2" t="str">
        <f t="shared" si="1"/>
        <v>I</v>
      </c>
      <c r="C19" s="3">
        <f t="shared" si="2"/>
        <v>42485.726999999999</v>
      </c>
      <c r="D19" s="7" t="str">
        <f t="shared" si="3"/>
        <v>vis</v>
      </c>
      <c r="E19" s="26">
        <f>VLOOKUP(C19,'Active 1'!C$21:E$973,3,FALSE)</f>
        <v>4533.036514339934</v>
      </c>
      <c r="F19" s="2" t="s">
        <v>66</v>
      </c>
      <c r="G19" s="7" t="str">
        <f t="shared" si="4"/>
        <v>42485.727</v>
      </c>
      <c r="H19" s="3">
        <f t="shared" si="5"/>
        <v>-5396</v>
      </c>
      <c r="I19" s="27" t="s">
        <v>95</v>
      </c>
      <c r="J19" s="28" t="s">
        <v>96</v>
      </c>
      <c r="K19" s="27">
        <v>-5396</v>
      </c>
      <c r="L19" s="27" t="s">
        <v>97</v>
      </c>
      <c r="M19" s="28" t="s">
        <v>71</v>
      </c>
      <c r="N19" s="28"/>
      <c r="O19" s="29" t="s">
        <v>72</v>
      </c>
      <c r="P19" s="30" t="s">
        <v>73</v>
      </c>
    </row>
    <row r="20" spans="1:16" ht="12.75" customHeight="1" thickBot="1" x14ac:dyDescent="0.25">
      <c r="A20" s="3" t="str">
        <f t="shared" si="0"/>
        <v>IBVS 5084 </v>
      </c>
      <c r="B20" s="2" t="str">
        <f t="shared" si="1"/>
        <v>I</v>
      </c>
      <c r="C20" s="3">
        <f t="shared" si="2"/>
        <v>44996.764000000003</v>
      </c>
      <c r="D20" s="7" t="str">
        <f t="shared" si="3"/>
        <v>vis</v>
      </c>
      <c r="E20" s="26">
        <f>VLOOKUP(C20,'Active 1'!C$21:E$973,3,FALSE)</f>
        <v>5886.0381022479123</v>
      </c>
      <c r="F20" s="2" t="s">
        <v>66</v>
      </c>
      <c r="G20" s="7" t="str">
        <f t="shared" si="4"/>
        <v>44996.764</v>
      </c>
      <c r="H20" s="3">
        <f t="shared" si="5"/>
        <v>-4043</v>
      </c>
      <c r="I20" s="27" t="s">
        <v>98</v>
      </c>
      <c r="J20" s="28" t="s">
        <v>99</v>
      </c>
      <c r="K20" s="27">
        <v>-4043</v>
      </c>
      <c r="L20" s="27" t="s">
        <v>100</v>
      </c>
      <c r="M20" s="28" t="s">
        <v>71</v>
      </c>
      <c r="N20" s="28"/>
      <c r="O20" s="29" t="s">
        <v>72</v>
      </c>
      <c r="P20" s="30" t="s">
        <v>73</v>
      </c>
    </row>
    <row r="21" spans="1:16" ht="12.75" customHeight="1" thickBot="1" x14ac:dyDescent="0.25">
      <c r="A21" s="3" t="str">
        <f t="shared" si="0"/>
        <v>IBVS 5084 </v>
      </c>
      <c r="B21" s="2" t="str">
        <f t="shared" si="1"/>
        <v>I</v>
      </c>
      <c r="C21" s="3">
        <f t="shared" si="2"/>
        <v>45289.892</v>
      </c>
      <c r="D21" s="7" t="str">
        <f t="shared" si="3"/>
        <v>vis</v>
      </c>
      <c r="E21" s="26">
        <f>VLOOKUP(C21,'Active 1'!C$21:E$973,3,FALSE)</f>
        <v>6043.9818718778633</v>
      </c>
      <c r="F21" s="2" t="s">
        <v>66</v>
      </c>
      <c r="G21" s="7" t="str">
        <f t="shared" si="4"/>
        <v>45289.892</v>
      </c>
      <c r="H21" s="3">
        <f t="shared" si="5"/>
        <v>-3885</v>
      </c>
      <c r="I21" s="27" t="s">
        <v>101</v>
      </c>
      <c r="J21" s="28" t="s">
        <v>102</v>
      </c>
      <c r="K21" s="27">
        <v>-3885</v>
      </c>
      <c r="L21" s="27" t="s">
        <v>103</v>
      </c>
      <c r="M21" s="28" t="s">
        <v>71</v>
      </c>
      <c r="N21" s="28"/>
      <c r="O21" s="29" t="s">
        <v>72</v>
      </c>
      <c r="P21" s="30" t="s">
        <v>73</v>
      </c>
    </row>
    <row r="22" spans="1:16" ht="12.75" customHeight="1" thickBot="1" x14ac:dyDescent="0.25">
      <c r="A22" s="3" t="str">
        <f t="shared" si="0"/>
        <v>IBVS 5084 </v>
      </c>
      <c r="B22" s="2" t="str">
        <f t="shared" si="1"/>
        <v>I</v>
      </c>
      <c r="C22" s="3">
        <f t="shared" si="2"/>
        <v>45757.716999999997</v>
      </c>
      <c r="D22" s="7" t="str">
        <f t="shared" si="3"/>
        <v>vis</v>
      </c>
      <c r="E22" s="26">
        <f>VLOOKUP(C22,'Active 1'!C$21:E$973,3,FALSE)</f>
        <v>6296.0562012736655</v>
      </c>
      <c r="F22" s="2" t="s">
        <v>66</v>
      </c>
      <c r="G22" s="7" t="str">
        <f t="shared" si="4"/>
        <v>45757.717</v>
      </c>
      <c r="H22" s="3">
        <f t="shared" si="5"/>
        <v>-3633</v>
      </c>
      <c r="I22" s="27" t="s">
        <v>104</v>
      </c>
      <c r="J22" s="28" t="s">
        <v>105</v>
      </c>
      <c r="K22" s="27">
        <v>-3633</v>
      </c>
      <c r="L22" s="27" t="s">
        <v>106</v>
      </c>
      <c r="M22" s="28" t="s">
        <v>71</v>
      </c>
      <c r="N22" s="28"/>
      <c r="O22" s="29" t="s">
        <v>72</v>
      </c>
      <c r="P22" s="30" t="s">
        <v>73</v>
      </c>
    </row>
    <row r="23" spans="1:16" ht="12.75" customHeight="1" thickBot="1" x14ac:dyDescent="0.25">
      <c r="A23" s="3" t="str">
        <f t="shared" si="0"/>
        <v>IBVS 5084 </v>
      </c>
      <c r="B23" s="2" t="str">
        <f t="shared" si="1"/>
        <v>I</v>
      </c>
      <c r="C23" s="3">
        <f t="shared" si="2"/>
        <v>46438.81</v>
      </c>
      <c r="D23" s="7" t="str">
        <f t="shared" si="3"/>
        <v>vis</v>
      </c>
      <c r="E23" s="26">
        <f>VLOOKUP(C23,'Active 1'!C$21:E$973,3,FALSE)</f>
        <v>6663.0439877989165</v>
      </c>
      <c r="F23" s="2" t="s">
        <v>66</v>
      </c>
      <c r="G23" s="7" t="str">
        <f t="shared" si="4"/>
        <v>46438.810</v>
      </c>
      <c r="H23" s="3">
        <f t="shared" si="5"/>
        <v>-3266</v>
      </c>
      <c r="I23" s="27" t="s">
        <v>107</v>
      </c>
      <c r="J23" s="28" t="s">
        <v>108</v>
      </c>
      <c r="K23" s="27">
        <v>-3266</v>
      </c>
      <c r="L23" s="27" t="s">
        <v>109</v>
      </c>
      <c r="M23" s="28" t="s">
        <v>71</v>
      </c>
      <c r="N23" s="28"/>
      <c r="O23" s="29" t="s">
        <v>72</v>
      </c>
      <c r="P23" s="30" t="s">
        <v>73</v>
      </c>
    </row>
    <row r="24" spans="1:16" ht="12.75" customHeight="1" thickBot="1" x14ac:dyDescent="0.25">
      <c r="A24" s="3" t="str">
        <f t="shared" si="0"/>
        <v>IBVS 5084 </v>
      </c>
      <c r="B24" s="2" t="str">
        <f t="shared" si="1"/>
        <v>I</v>
      </c>
      <c r="C24" s="3">
        <f t="shared" si="2"/>
        <v>46492.646000000001</v>
      </c>
      <c r="D24" s="7" t="str">
        <f t="shared" si="3"/>
        <v>vis</v>
      </c>
      <c r="E24" s="26">
        <f>VLOOKUP(C24,'Active 1'!C$21:E$973,3,FALSE)</f>
        <v>6692.052000618567</v>
      </c>
      <c r="F24" s="2" t="s">
        <v>66</v>
      </c>
      <c r="G24" s="7" t="str">
        <f t="shared" si="4"/>
        <v>46492.646</v>
      </c>
      <c r="H24" s="3">
        <f t="shared" si="5"/>
        <v>-3237</v>
      </c>
      <c r="I24" s="27" t="s">
        <v>110</v>
      </c>
      <c r="J24" s="28" t="s">
        <v>111</v>
      </c>
      <c r="K24" s="27">
        <v>-3237</v>
      </c>
      <c r="L24" s="27" t="s">
        <v>112</v>
      </c>
      <c r="M24" s="28" t="s">
        <v>71</v>
      </c>
      <c r="N24" s="28"/>
      <c r="O24" s="29" t="s">
        <v>72</v>
      </c>
      <c r="P24" s="30" t="s">
        <v>73</v>
      </c>
    </row>
    <row r="25" spans="1:16" ht="12.75" customHeight="1" thickBot="1" x14ac:dyDescent="0.25">
      <c r="A25" s="3" t="str">
        <f t="shared" si="0"/>
        <v>IBVS 5084 </v>
      </c>
      <c r="B25" s="2" t="str">
        <f t="shared" si="1"/>
        <v>I</v>
      </c>
      <c r="C25" s="3">
        <f t="shared" si="2"/>
        <v>46878.712</v>
      </c>
      <c r="D25" s="7" t="str">
        <f t="shared" si="3"/>
        <v>vis</v>
      </c>
      <c r="E25" s="26">
        <f>VLOOKUP(C25,'Active 1'!C$21:E$973,3,FALSE)</f>
        <v>6900.0727948311887</v>
      </c>
      <c r="F25" s="2" t="s">
        <v>66</v>
      </c>
      <c r="G25" s="7" t="str">
        <f t="shared" si="4"/>
        <v>46878.712</v>
      </c>
      <c r="H25" s="3">
        <f t="shared" si="5"/>
        <v>-3029</v>
      </c>
      <c r="I25" s="27" t="s">
        <v>113</v>
      </c>
      <c r="J25" s="28" t="s">
        <v>114</v>
      </c>
      <c r="K25" s="27">
        <v>-3029</v>
      </c>
      <c r="L25" s="27" t="s">
        <v>115</v>
      </c>
      <c r="M25" s="28" t="s">
        <v>71</v>
      </c>
      <c r="N25" s="28"/>
      <c r="O25" s="29" t="s">
        <v>72</v>
      </c>
      <c r="P25" s="30" t="s">
        <v>73</v>
      </c>
    </row>
    <row r="26" spans="1:16" ht="12.75" customHeight="1" thickBot="1" x14ac:dyDescent="0.25">
      <c r="A26" s="3" t="str">
        <f t="shared" si="0"/>
        <v>IBVS 5084 </v>
      </c>
      <c r="B26" s="2" t="str">
        <f t="shared" si="1"/>
        <v>I</v>
      </c>
      <c r="C26" s="3">
        <f t="shared" si="2"/>
        <v>47264.629000000001</v>
      </c>
      <c r="D26" s="7" t="str">
        <f t="shared" si="3"/>
        <v>vis</v>
      </c>
      <c r="E26" s="26">
        <f>VLOOKUP(C26,'Active 1'!C$21:E$973,3,FALSE)</f>
        <v>7108.0133045889843</v>
      </c>
      <c r="F26" s="2" t="s">
        <v>66</v>
      </c>
      <c r="G26" s="7" t="str">
        <f t="shared" si="4"/>
        <v>47264.629</v>
      </c>
      <c r="H26" s="3">
        <f t="shared" si="5"/>
        <v>-2821</v>
      </c>
      <c r="I26" s="27" t="s">
        <v>116</v>
      </c>
      <c r="J26" s="28" t="s">
        <v>117</v>
      </c>
      <c r="K26" s="27">
        <v>-2821</v>
      </c>
      <c r="L26" s="27" t="s">
        <v>118</v>
      </c>
      <c r="M26" s="28" t="s">
        <v>71</v>
      </c>
      <c r="N26" s="28"/>
      <c r="O26" s="29" t="s">
        <v>72</v>
      </c>
      <c r="P26" s="30" t="s">
        <v>73</v>
      </c>
    </row>
    <row r="27" spans="1:16" ht="12.75" customHeight="1" thickBot="1" x14ac:dyDescent="0.25">
      <c r="A27" s="3" t="str">
        <f t="shared" si="0"/>
        <v>IBVS 5084 </v>
      </c>
      <c r="B27" s="2" t="str">
        <f t="shared" si="1"/>
        <v>I</v>
      </c>
      <c r="C27" s="3">
        <f t="shared" si="2"/>
        <v>49801.650999999998</v>
      </c>
      <c r="D27" s="7" t="str">
        <f t="shared" si="3"/>
        <v>vis</v>
      </c>
      <c r="E27" s="26">
        <f>VLOOKUP(C27,'Active 1'!C$21:E$973,3,FALSE)</f>
        <v>8475.0161781258794</v>
      </c>
      <c r="F27" s="2" t="s">
        <v>66</v>
      </c>
      <c r="G27" s="7" t="str">
        <f t="shared" si="4"/>
        <v>49801.651</v>
      </c>
      <c r="H27" s="3">
        <f t="shared" si="5"/>
        <v>-1454</v>
      </c>
      <c r="I27" s="27" t="s">
        <v>119</v>
      </c>
      <c r="J27" s="28" t="s">
        <v>120</v>
      </c>
      <c r="K27" s="27">
        <v>-1454</v>
      </c>
      <c r="L27" s="27" t="s">
        <v>121</v>
      </c>
      <c r="M27" s="28" t="s">
        <v>71</v>
      </c>
      <c r="N27" s="28"/>
      <c r="O27" s="29" t="s">
        <v>72</v>
      </c>
      <c r="P27" s="30" t="s">
        <v>73</v>
      </c>
    </row>
    <row r="28" spans="1:16" ht="12.75" customHeight="1" thickBot="1" x14ac:dyDescent="0.25">
      <c r="A28" s="3" t="str">
        <f t="shared" si="0"/>
        <v> BBS 128 </v>
      </c>
      <c r="B28" s="2" t="str">
        <f t="shared" si="1"/>
        <v>I</v>
      </c>
      <c r="C28" s="3">
        <f t="shared" si="2"/>
        <v>52368.408000000003</v>
      </c>
      <c r="D28" s="7" t="str">
        <f t="shared" si="3"/>
        <v>vis</v>
      </c>
      <c r="E28" s="26">
        <f>VLOOKUP(C28,'Active 1'!C$21:E$973,3,FALSE)</f>
        <v>9858.0409192085153</v>
      </c>
      <c r="F28" s="2" t="s">
        <v>66</v>
      </c>
      <c r="G28" s="7" t="str">
        <f t="shared" si="4"/>
        <v>52368.408</v>
      </c>
      <c r="H28" s="3">
        <f t="shared" si="5"/>
        <v>-71</v>
      </c>
      <c r="I28" s="27" t="s">
        <v>122</v>
      </c>
      <c r="J28" s="28" t="s">
        <v>123</v>
      </c>
      <c r="K28" s="27">
        <v>-71</v>
      </c>
      <c r="L28" s="27" t="s">
        <v>124</v>
      </c>
      <c r="M28" s="28" t="s">
        <v>125</v>
      </c>
      <c r="N28" s="28"/>
      <c r="O28" s="29" t="s">
        <v>126</v>
      </c>
      <c r="P28" s="29" t="s">
        <v>127</v>
      </c>
    </row>
    <row r="29" spans="1:16" ht="12.75" customHeight="1" thickBot="1" x14ac:dyDescent="0.25">
      <c r="A29" s="3" t="str">
        <f t="shared" si="0"/>
        <v>IBVS 5592 </v>
      </c>
      <c r="B29" s="2" t="str">
        <f t="shared" si="1"/>
        <v>I</v>
      </c>
      <c r="C29" s="3">
        <f t="shared" si="2"/>
        <v>53038.382799999999</v>
      </c>
      <c r="D29" s="7" t="str">
        <f t="shared" si="3"/>
        <v>vis</v>
      </c>
      <c r="E29" s="26">
        <f>VLOOKUP(C29,'Active 1'!C$21:E$973,3,FALSE)</f>
        <v>10219.037976702421</v>
      </c>
      <c r="F29" s="2" t="s">
        <v>66</v>
      </c>
      <c r="G29" s="7" t="str">
        <f t="shared" si="4"/>
        <v>53038.3828</v>
      </c>
      <c r="H29" s="3">
        <f t="shared" si="5"/>
        <v>290</v>
      </c>
      <c r="I29" s="27" t="s">
        <v>128</v>
      </c>
      <c r="J29" s="28" t="s">
        <v>129</v>
      </c>
      <c r="K29" s="27">
        <v>290</v>
      </c>
      <c r="L29" s="27" t="s">
        <v>130</v>
      </c>
      <c r="M29" s="28" t="s">
        <v>131</v>
      </c>
      <c r="N29" s="28" t="s">
        <v>132</v>
      </c>
      <c r="O29" s="29" t="s">
        <v>133</v>
      </c>
      <c r="P29" s="30" t="s">
        <v>134</v>
      </c>
    </row>
    <row r="30" spans="1:16" ht="12.75" customHeight="1" thickBot="1" x14ac:dyDescent="0.25">
      <c r="A30" s="3" t="str">
        <f t="shared" si="0"/>
        <v> BBS 130 </v>
      </c>
      <c r="B30" s="2" t="str">
        <f t="shared" si="1"/>
        <v>I</v>
      </c>
      <c r="C30" s="3">
        <f t="shared" si="2"/>
        <v>53049.546999999999</v>
      </c>
      <c r="D30" s="7" t="str">
        <f t="shared" si="3"/>
        <v>vis</v>
      </c>
      <c r="E30" s="26">
        <f>VLOOKUP(C30,'Active 1'!C$21:E$973,3,FALSE)</f>
        <v>10225.053491538611</v>
      </c>
      <c r="F30" s="2" t="s">
        <v>66</v>
      </c>
      <c r="G30" s="7" t="str">
        <f t="shared" si="4"/>
        <v>53049.547</v>
      </c>
      <c r="H30" s="3">
        <f t="shared" si="5"/>
        <v>296</v>
      </c>
      <c r="I30" s="27" t="s">
        <v>135</v>
      </c>
      <c r="J30" s="28" t="s">
        <v>136</v>
      </c>
      <c r="K30" s="27">
        <v>296</v>
      </c>
      <c r="L30" s="27" t="s">
        <v>137</v>
      </c>
      <c r="M30" s="28" t="s">
        <v>125</v>
      </c>
      <c r="N30" s="28"/>
      <c r="O30" s="29" t="s">
        <v>126</v>
      </c>
      <c r="P30" s="29" t="s">
        <v>138</v>
      </c>
    </row>
    <row r="31" spans="1:16" ht="12.75" customHeight="1" thickBot="1" x14ac:dyDescent="0.25">
      <c r="A31" s="3" t="str">
        <f t="shared" si="0"/>
        <v>IBVS 5592 </v>
      </c>
      <c r="B31" s="2" t="str">
        <f t="shared" si="1"/>
        <v>I</v>
      </c>
      <c r="C31" s="3">
        <f t="shared" si="2"/>
        <v>53157.160100000001</v>
      </c>
      <c r="D31" s="7" t="str">
        <f t="shared" si="3"/>
        <v>vis</v>
      </c>
      <c r="E31" s="26">
        <f>VLOOKUP(C31,'Active 1'!C$21:E$973,3,FALSE)</f>
        <v>10283.037780571271</v>
      </c>
      <c r="F31" s="2" t="s">
        <v>66</v>
      </c>
      <c r="G31" s="7" t="str">
        <f t="shared" si="4"/>
        <v>53157.1601</v>
      </c>
      <c r="H31" s="3">
        <f t="shared" si="5"/>
        <v>354</v>
      </c>
      <c r="I31" s="27" t="s">
        <v>139</v>
      </c>
      <c r="J31" s="28" t="s">
        <v>140</v>
      </c>
      <c r="K31" s="27">
        <v>354</v>
      </c>
      <c r="L31" s="27" t="s">
        <v>141</v>
      </c>
      <c r="M31" s="28" t="s">
        <v>131</v>
      </c>
      <c r="N31" s="28" t="s">
        <v>132</v>
      </c>
      <c r="O31" s="29" t="s">
        <v>133</v>
      </c>
      <c r="P31" s="30" t="s">
        <v>134</v>
      </c>
    </row>
    <row r="32" spans="1:16" ht="12.75" customHeight="1" thickBot="1" x14ac:dyDescent="0.25">
      <c r="A32" s="3" t="str">
        <f t="shared" si="0"/>
        <v>OEJV 0003 </v>
      </c>
      <c r="B32" s="2" t="str">
        <f t="shared" si="1"/>
        <v>I</v>
      </c>
      <c r="C32" s="3">
        <f t="shared" si="2"/>
        <v>53409.574999999997</v>
      </c>
      <c r="D32" s="7" t="str">
        <f t="shared" si="3"/>
        <v>vis</v>
      </c>
      <c r="E32" s="26">
        <f>VLOOKUP(C32,'Active 1'!C$21:E$973,3,FALSE)</f>
        <v>10419.044442564553</v>
      </c>
      <c r="F32" s="2" t="s">
        <v>66</v>
      </c>
      <c r="G32" s="7" t="str">
        <f t="shared" si="4"/>
        <v>53409.575</v>
      </c>
      <c r="H32" s="3">
        <f t="shared" si="5"/>
        <v>490</v>
      </c>
      <c r="I32" s="27" t="s">
        <v>142</v>
      </c>
      <c r="J32" s="28" t="s">
        <v>143</v>
      </c>
      <c r="K32" s="27">
        <v>490</v>
      </c>
      <c r="L32" s="27" t="s">
        <v>144</v>
      </c>
      <c r="M32" s="28" t="s">
        <v>125</v>
      </c>
      <c r="N32" s="28"/>
      <c r="O32" s="29" t="s">
        <v>126</v>
      </c>
      <c r="P32" s="30" t="s">
        <v>145</v>
      </c>
    </row>
    <row r="33" spans="1:16" ht="12.75" customHeight="1" thickBot="1" x14ac:dyDescent="0.25">
      <c r="A33" s="3" t="str">
        <f t="shared" si="0"/>
        <v>IBVS 5894 </v>
      </c>
      <c r="B33" s="2" t="str">
        <f t="shared" si="1"/>
        <v>I</v>
      </c>
      <c r="C33" s="3">
        <f t="shared" si="2"/>
        <v>54860.824999999997</v>
      </c>
      <c r="D33" s="7" t="str">
        <f t="shared" si="3"/>
        <v>vis</v>
      </c>
      <c r="E33" s="26">
        <f>VLOOKUP(C33,'Active 1'!C$21:E$973,3,FALSE)</f>
        <v>11201.009644372192</v>
      </c>
      <c r="F33" s="2" t="s">
        <v>66</v>
      </c>
      <c r="G33" s="7" t="str">
        <f t="shared" si="4"/>
        <v>54860.825</v>
      </c>
      <c r="H33" s="3">
        <f t="shared" si="5"/>
        <v>1272</v>
      </c>
      <c r="I33" s="27" t="s">
        <v>153</v>
      </c>
      <c r="J33" s="28" t="s">
        <v>154</v>
      </c>
      <c r="K33" s="27">
        <v>1272</v>
      </c>
      <c r="L33" s="27" t="s">
        <v>155</v>
      </c>
      <c r="M33" s="28" t="s">
        <v>149</v>
      </c>
      <c r="N33" s="28" t="s">
        <v>66</v>
      </c>
      <c r="O33" s="29" t="s">
        <v>156</v>
      </c>
      <c r="P33" s="30" t="s">
        <v>157</v>
      </c>
    </row>
    <row r="34" spans="1:16" ht="12.75" customHeight="1" thickBot="1" x14ac:dyDescent="0.25">
      <c r="A34" s="3" t="str">
        <f t="shared" si="0"/>
        <v>BAVM 209 </v>
      </c>
      <c r="B34" s="2" t="str">
        <f t="shared" si="1"/>
        <v>I</v>
      </c>
      <c r="C34" s="3">
        <f t="shared" si="2"/>
        <v>54942.484400000001</v>
      </c>
      <c r="D34" s="7" t="str">
        <f t="shared" si="3"/>
        <v>vis</v>
      </c>
      <c r="E34" s="26">
        <f>VLOOKUP(C34,'Active 1'!C$21:E$973,3,FALSE)</f>
        <v>11245.009512899665</v>
      </c>
      <c r="F34" s="2" t="s">
        <v>66</v>
      </c>
      <c r="G34" s="7" t="str">
        <f t="shared" si="4"/>
        <v>54942.4844</v>
      </c>
      <c r="H34" s="3">
        <f t="shared" si="5"/>
        <v>1316</v>
      </c>
      <c r="I34" s="27" t="s">
        <v>158</v>
      </c>
      <c r="J34" s="28" t="s">
        <v>159</v>
      </c>
      <c r="K34" s="27">
        <v>1316</v>
      </c>
      <c r="L34" s="27" t="s">
        <v>160</v>
      </c>
      <c r="M34" s="28" t="s">
        <v>149</v>
      </c>
      <c r="N34" s="28" t="s">
        <v>161</v>
      </c>
      <c r="O34" s="29" t="s">
        <v>162</v>
      </c>
      <c r="P34" s="30" t="s">
        <v>163</v>
      </c>
    </row>
    <row r="35" spans="1:16" ht="12.75" customHeight="1" thickBot="1" x14ac:dyDescent="0.25">
      <c r="A35" s="3" t="str">
        <f t="shared" si="0"/>
        <v>IBVS 5945 </v>
      </c>
      <c r="B35" s="2" t="str">
        <f t="shared" si="1"/>
        <v>I</v>
      </c>
      <c r="C35" s="3">
        <f t="shared" si="2"/>
        <v>55259.827299999997</v>
      </c>
      <c r="D35" s="7" t="str">
        <f t="shared" si="3"/>
        <v>vis</v>
      </c>
      <c r="E35" s="26">
        <f>VLOOKUP(C35,'Active 1'!C$21:E$973,3,FALSE)</f>
        <v>11416.000799611615</v>
      </c>
      <c r="F35" s="2" t="s">
        <v>66</v>
      </c>
      <c r="G35" s="7" t="str">
        <f t="shared" si="4"/>
        <v>55259.8273</v>
      </c>
      <c r="H35" s="3">
        <f t="shared" si="5"/>
        <v>1487</v>
      </c>
      <c r="I35" s="27" t="s">
        <v>164</v>
      </c>
      <c r="J35" s="28" t="s">
        <v>165</v>
      </c>
      <c r="K35" s="27" t="s">
        <v>166</v>
      </c>
      <c r="L35" s="27" t="s">
        <v>167</v>
      </c>
      <c r="M35" s="28" t="s">
        <v>149</v>
      </c>
      <c r="N35" s="28" t="s">
        <v>66</v>
      </c>
      <c r="O35" s="29" t="s">
        <v>156</v>
      </c>
      <c r="P35" s="30" t="s">
        <v>168</v>
      </c>
    </row>
    <row r="36" spans="1:16" ht="12.75" customHeight="1" thickBot="1" x14ac:dyDescent="0.25">
      <c r="A36" s="3" t="str">
        <f t="shared" si="0"/>
        <v>IBVS 5992 </v>
      </c>
      <c r="B36" s="2" t="str">
        <f t="shared" si="1"/>
        <v>I</v>
      </c>
      <c r="C36" s="3">
        <f t="shared" si="2"/>
        <v>55660.688300000002</v>
      </c>
      <c r="D36" s="7" t="str">
        <f t="shared" si="3"/>
        <v>vis</v>
      </c>
      <c r="E36" s="26">
        <f>VLOOKUP(C36,'Active 1'!C$21:E$973,3,FALSE)</f>
        <v>11631.993463013383</v>
      </c>
      <c r="F36" s="2" t="s">
        <v>66</v>
      </c>
      <c r="G36" s="7" t="str">
        <f t="shared" si="4"/>
        <v>55660.6883</v>
      </c>
      <c r="H36" s="3">
        <f t="shared" si="5"/>
        <v>1703</v>
      </c>
      <c r="I36" s="27" t="s">
        <v>169</v>
      </c>
      <c r="J36" s="28" t="s">
        <v>170</v>
      </c>
      <c r="K36" s="27" t="s">
        <v>171</v>
      </c>
      <c r="L36" s="27" t="s">
        <v>172</v>
      </c>
      <c r="M36" s="28" t="s">
        <v>149</v>
      </c>
      <c r="N36" s="28" t="s">
        <v>66</v>
      </c>
      <c r="O36" s="29" t="s">
        <v>156</v>
      </c>
      <c r="P36" s="30" t="s">
        <v>173</v>
      </c>
    </row>
    <row r="37" spans="1:16" ht="12.75" customHeight="1" thickBot="1" x14ac:dyDescent="0.25">
      <c r="A37" s="3" t="str">
        <f t="shared" si="0"/>
        <v>IBVS 6029 </v>
      </c>
      <c r="B37" s="2" t="str">
        <f t="shared" si="1"/>
        <v>I</v>
      </c>
      <c r="C37" s="3">
        <f t="shared" si="2"/>
        <v>55953.911099999998</v>
      </c>
      <c r="D37" s="7" t="str">
        <f t="shared" si="3"/>
        <v>vis</v>
      </c>
      <c r="E37" s="26">
        <f>VLOOKUP(C37,'Active 1'!C$21:E$973,3,FALSE)</f>
        <v>11789.988312954192</v>
      </c>
      <c r="F37" s="2" t="s">
        <v>66</v>
      </c>
      <c r="G37" s="7" t="str">
        <f t="shared" si="4"/>
        <v>55953.9111</v>
      </c>
      <c r="H37" s="3">
        <f t="shared" si="5"/>
        <v>1861</v>
      </c>
      <c r="I37" s="27" t="s">
        <v>174</v>
      </c>
      <c r="J37" s="28" t="s">
        <v>175</v>
      </c>
      <c r="K37" s="27" t="s">
        <v>176</v>
      </c>
      <c r="L37" s="27" t="s">
        <v>177</v>
      </c>
      <c r="M37" s="28" t="s">
        <v>149</v>
      </c>
      <c r="N37" s="28" t="s">
        <v>66</v>
      </c>
      <c r="O37" s="29" t="s">
        <v>156</v>
      </c>
      <c r="P37" s="30" t="s">
        <v>178</v>
      </c>
    </row>
    <row r="38" spans="1:16" ht="12.75" customHeight="1" thickBot="1" x14ac:dyDescent="0.25">
      <c r="A38" s="3" t="str">
        <f t="shared" si="0"/>
        <v>IBVS 6029 </v>
      </c>
      <c r="B38" s="2" t="str">
        <f t="shared" si="1"/>
        <v>II</v>
      </c>
      <c r="C38" s="3">
        <f t="shared" si="2"/>
        <v>56038.718399999998</v>
      </c>
      <c r="D38" s="7" t="str">
        <f t="shared" si="3"/>
        <v>vis</v>
      </c>
      <c r="E38" s="26">
        <f>VLOOKUP(C38,'Active 1'!C$21:E$973,3,FALSE)</f>
        <v>11835.684338765914</v>
      </c>
      <c r="F38" s="2" t="s">
        <v>66</v>
      </c>
      <c r="G38" s="7" t="str">
        <f t="shared" si="4"/>
        <v>56038.7184</v>
      </c>
      <c r="H38" s="3">
        <f t="shared" si="5"/>
        <v>1906.5</v>
      </c>
      <c r="I38" s="27" t="s">
        <v>179</v>
      </c>
      <c r="J38" s="28" t="s">
        <v>180</v>
      </c>
      <c r="K38" s="27" t="s">
        <v>181</v>
      </c>
      <c r="L38" s="27" t="s">
        <v>182</v>
      </c>
      <c r="M38" s="28" t="s">
        <v>149</v>
      </c>
      <c r="N38" s="28" t="s">
        <v>66</v>
      </c>
      <c r="O38" s="29" t="s">
        <v>156</v>
      </c>
      <c r="P38" s="30" t="s">
        <v>178</v>
      </c>
    </row>
    <row r="39" spans="1:16" ht="12.75" customHeight="1" thickBot="1" x14ac:dyDescent="0.25">
      <c r="A39" s="3" t="str">
        <f t="shared" si="0"/>
        <v>BAVM 238 </v>
      </c>
      <c r="B39" s="2" t="str">
        <f t="shared" si="1"/>
        <v>I</v>
      </c>
      <c r="C39" s="3">
        <f t="shared" si="2"/>
        <v>56744.517800000001</v>
      </c>
      <c r="D39" s="7" t="str">
        <f t="shared" si="3"/>
        <v>vis</v>
      </c>
      <c r="E39" s="26">
        <f>VLOOKUP(C39,'Active 1'!C$21:E$973,3,FALSE)</f>
        <v>12215.984473309729</v>
      </c>
      <c r="F39" s="2" t="s">
        <v>66</v>
      </c>
      <c r="G39" s="7" t="str">
        <f t="shared" si="4"/>
        <v>56744.5178</v>
      </c>
      <c r="H39" s="3">
        <f t="shared" si="5"/>
        <v>2287</v>
      </c>
      <c r="I39" s="27" t="s">
        <v>183</v>
      </c>
      <c r="J39" s="28" t="s">
        <v>184</v>
      </c>
      <c r="K39" s="27" t="s">
        <v>185</v>
      </c>
      <c r="L39" s="27" t="s">
        <v>186</v>
      </c>
      <c r="M39" s="28" t="s">
        <v>149</v>
      </c>
      <c r="N39" s="28" t="s">
        <v>161</v>
      </c>
      <c r="O39" s="29" t="s">
        <v>162</v>
      </c>
      <c r="P39" s="30" t="s">
        <v>187</v>
      </c>
    </row>
    <row r="40" spans="1:16" ht="12.75" customHeight="1" thickBot="1" x14ac:dyDescent="0.25">
      <c r="A40" s="3" t="str">
        <f t="shared" si="0"/>
        <v>VSB 48 </v>
      </c>
      <c r="B40" s="2" t="str">
        <f t="shared" si="1"/>
        <v>I</v>
      </c>
      <c r="C40" s="3">
        <f t="shared" si="2"/>
        <v>54562.042300000001</v>
      </c>
      <c r="D40" s="7" t="str">
        <f t="shared" si="3"/>
        <v>vis</v>
      </c>
      <c r="E40" s="26">
        <f>VLOOKUP(C40,'Active 1'!C$21:E$973,3,FALSE)</f>
        <v>11040.018998858237</v>
      </c>
      <c r="F40" s="2" t="s">
        <v>66</v>
      </c>
      <c r="G40" s="7" t="str">
        <f t="shared" si="4"/>
        <v>54562.0423</v>
      </c>
      <c r="H40" s="3">
        <f t="shared" si="5"/>
        <v>1111</v>
      </c>
      <c r="I40" s="27" t="s">
        <v>146</v>
      </c>
      <c r="J40" s="28" t="s">
        <v>147</v>
      </c>
      <c r="K40" s="27">
        <v>1111</v>
      </c>
      <c r="L40" s="27" t="s">
        <v>148</v>
      </c>
      <c r="M40" s="28" t="s">
        <v>149</v>
      </c>
      <c r="N40" s="28" t="s">
        <v>150</v>
      </c>
      <c r="O40" s="29" t="s">
        <v>151</v>
      </c>
      <c r="P40" s="30" t="s">
        <v>152</v>
      </c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</sheetData>
  <phoneticPr fontId="8" type="noConversion"/>
  <hyperlinks>
    <hyperlink ref="P11" r:id="rId1" display="http://www.konkoly.hu/cgi-bin/IBVS?5084"/>
    <hyperlink ref="P12" r:id="rId2" display="http://www.konkoly.hu/cgi-bin/IBVS?5084"/>
    <hyperlink ref="P13" r:id="rId3" display="http://www.konkoly.hu/cgi-bin/IBVS?5084"/>
    <hyperlink ref="P14" r:id="rId4" display="http://www.konkoly.hu/cgi-bin/IBVS?5084"/>
    <hyperlink ref="P15" r:id="rId5" display="http://www.konkoly.hu/cgi-bin/IBVS?5084"/>
    <hyperlink ref="P16" r:id="rId6" display="http://www.konkoly.hu/cgi-bin/IBVS?5084"/>
    <hyperlink ref="P17" r:id="rId7" display="http://www.konkoly.hu/cgi-bin/IBVS?5084"/>
    <hyperlink ref="P18" r:id="rId8" display="http://www.konkoly.hu/cgi-bin/IBVS?5084"/>
    <hyperlink ref="P19" r:id="rId9" display="http://www.konkoly.hu/cgi-bin/IBVS?5084"/>
    <hyperlink ref="P20" r:id="rId10" display="http://www.konkoly.hu/cgi-bin/IBVS?5084"/>
    <hyperlink ref="P21" r:id="rId11" display="http://www.konkoly.hu/cgi-bin/IBVS?5084"/>
    <hyperlink ref="P22" r:id="rId12" display="http://www.konkoly.hu/cgi-bin/IBVS?5084"/>
    <hyperlink ref="P23" r:id="rId13" display="http://www.konkoly.hu/cgi-bin/IBVS?5084"/>
    <hyperlink ref="P24" r:id="rId14" display="http://www.konkoly.hu/cgi-bin/IBVS?5084"/>
    <hyperlink ref="P25" r:id="rId15" display="http://www.konkoly.hu/cgi-bin/IBVS?5084"/>
    <hyperlink ref="P26" r:id="rId16" display="http://www.konkoly.hu/cgi-bin/IBVS?5084"/>
    <hyperlink ref="P27" r:id="rId17" display="http://www.konkoly.hu/cgi-bin/IBVS?5084"/>
    <hyperlink ref="P29" r:id="rId18" display="http://www.konkoly.hu/cgi-bin/IBVS?5592"/>
    <hyperlink ref="P31" r:id="rId19" display="http://www.konkoly.hu/cgi-bin/IBVS?5592"/>
    <hyperlink ref="P32" r:id="rId20" display="http://var.astro.cz/oejv/issues/oejv0003.pdf"/>
    <hyperlink ref="P40" r:id="rId21" display="http://vsolj.cetus-net.org/no48.pdf"/>
    <hyperlink ref="P33" r:id="rId22" display="http://www.konkoly.hu/cgi-bin/IBVS?5894"/>
    <hyperlink ref="P34" r:id="rId23" display="http://www.bav-astro.de/sfs/BAVM_link.php?BAVMnr=209"/>
    <hyperlink ref="P35" r:id="rId24" display="http://www.konkoly.hu/cgi-bin/IBVS?5945"/>
    <hyperlink ref="P36" r:id="rId25" display="http://www.konkoly.hu/cgi-bin/IBVS?5992"/>
    <hyperlink ref="P37" r:id="rId26" display="http://www.konkoly.hu/cgi-bin/IBVS?6029"/>
    <hyperlink ref="P38" r:id="rId27" display="http://www.konkoly.hu/cgi-bin/IBVS?6029"/>
    <hyperlink ref="P39" r:id="rId28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2024-03-09T03:51:41Z</dcterms:modified>
</cp:coreProperties>
</file>