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BE629892-A7EA-47F6-BB0A-4AA0FF85334E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C7" i="1" l="1"/>
  <c r="E23" i="1"/>
  <c r="F23" i="1"/>
  <c r="C8" i="1"/>
  <c r="E22" i="1"/>
  <c r="F22" i="1"/>
  <c r="C9" i="1"/>
  <c r="D9" i="1"/>
  <c r="F16" i="1"/>
  <c r="F17" i="1" s="1"/>
  <c r="C17" i="1"/>
  <c r="Q21" i="1"/>
  <c r="Q22" i="1"/>
  <c r="R22" i="1"/>
  <c r="Q23" i="1"/>
  <c r="G22" i="1"/>
  <c r="K22" i="1"/>
  <c r="E21" i="1"/>
  <c r="F21" i="1"/>
  <c r="G21" i="1"/>
  <c r="G23" i="1"/>
  <c r="K23" i="1"/>
  <c r="I21" i="1"/>
  <c r="C11" i="1"/>
  <c r="C12" i="1"/>
  <c r="C16" i="1" l="1"/>
  <c r="D18" i="1" s="1"/>
  <c r="O22" i="1"/>
  <c r="O21" i="1"/>
  <c r="O23" i="1"/>
  <c r="C15" i="1"/>
  <c r="C18" i="1" l="1"/>
  <c r="F18" i="1"/>
  <c r="F19" i="1" s="1"/>
</calcChain>
</file>

<file path=xl/sharedStrings.xml><?xml version="1.0" encoding="utf-8"?>
<sst xmlns="http://schemas.openxmlformats.org/spreadsheetml/2006/main" count="53" uniqueCount="48">
  <si>
    <t>NT UMa / GSC 4380-1811</t>
  </si>
  <si>
    <t>UMa</t>
  </si>
  <si>
    <t>EA</t>
  </si>
  <si>
    <t>IBVS 5686 Eph.</t>
  </si>
  <si>
    <t>IBVS 5686</t>
  </si>
  <si>
    <t>G4380-1811_UMa.xls</t>
  </si>
  <si>
    <t>System Type:</t>
  </si>
  <si>
    <t>My time zone &gt;&gt;&gt;&gt;&gt;</t>
  </si>
  <si>
    <t>(PST=8, PDT=MDT=7, MDT=CST=6, etc.)</t>
  </si>
  <si>
    <t>--- Working ----</t>
  </si>
  <si>
    <t>Epoch =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</si>
  <si>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</si>
  <si>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</si>
  <si>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</si>
  <si>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</si>
  <si>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</si>
  <si>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</si>
  <si>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</si>
  <si>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</si>
  <si>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</si>
  <si>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</si>
  <si>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</si>
  <si>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</si>
  <si>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</si>
  <si>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</si>
  <si>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New Ephemeris =</t>
  </si>
  <si>
    <t>New Cycle</t>
  </si>
  <si>
    <t>Next ToM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</si>
  <si>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</si>
  <si>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</si>
  <si>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</si>
  <si>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</si>
  <si>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</si>
  <si>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</si>
  <si>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</si>
  <si>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</si>
  <si>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</si>
  <si>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</si>
  <si>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</si>
  <si>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S5</t>
  </si>
  <si>
    <t>S6</t>
  </si>
  <si>
    <t>Misc</t>
  </si>
  <si>
    <t>Lin Fit</t>
  </si>
  <si>
    <t>Q. Fit</t>
  </si>
  <si>
    <t>Date</t>
  </si>
  <si>
    <t>OEJV 0179</t>
  </si>
  <si>
    <t>I</t>
  </si>
  <si>
    <t>OEJV 0211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</si>
</sst>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\$#,##0_);&quot;($&quot;#,##0\)"/>
    <numFmt numFmtId="165" formatCode="m/d/yyyy\ h:mm"/>
    <numFmt numFmtId="166" formatCode="m/d/yyyy"/>
  </numFmts>
  <fonts count="11" x14ac:knownFonts="1">
    <font>
      <sz val="10"/>
      <name val="Arial"/>
      <family val="2"/>
    </font>
    <font>
      <sz val="16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8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43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</borders>
  <cellStyleXfs count="7">
    <xf numFmtId="0" fontId="0" fillId="0" borderId="0">
      <alignment vertical="top"/>
    </xf>
    <xf numFmtId="3" fontId="10" fillId="0" borderId="0" applyFill="0" applyBorder="0" applyProtection="0">
      <alignment vertical="top"/>
    </xf>
    <xf numFmtId="164" fontId="10" fillId="0" borderId="0" applyFill="0" applyBorder="0" applyProtection="0">
      <alignment vertical="top"/>
    </xf>
    <xf numFmtId="0" fontId="10" fillId="0" borderId="0" applyFill="0" applyBorder="0" applyProtection="0">
      <alignment vertical="top"/>
    </xf>
    <xf numFmtId="2" fontId="10" fillId="0" borderId="0" applyFill="0" applyBorder="0" applyProtection="0">
      <alignment vertical="top"/>
    </xf>
    <xf numFmtId="0" fontId="10" fillId="0" borderId="0"/>
    <xf numFmtId="0" fontId="10" fillId="0" borderId="0"/>
  </cellStyleXfs>
  <cellXfs count="34">
    <xf numFmtId="0" fontId="0" fillId="0" borderId="0" xfId="0">
      <alignment vertical="top"/>
    </xf>
    <xf numFmtId="0" fontId="0" fillId="0" borderId="0" xfId="0" applyAlignment="1"/>
    <xf numFmtId="0" fontId="1" fillId="0" borderId="0" xfId="0" applyFont="1" applyAlignment="1"/>
    <xf numFmtId="0" fontId="2" fillId="0" borderId="2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5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165" fontId="8" fillId="0" borderId="0" xfId="0" applyNumberFormat="1" applyFont="1" applyAlignment="1">
      <alignment vertical="center"/>
    </xf>
    <xf numFmtId="0" fontId="3" fillId="0" borderId="5" xfId="0" applyFont="1" applyBorder="1" applyAlignment="1">
      <alignment horizontal="center" vertical="center"/>
    </xf>
    <xf numFmtId="166" fontId="0" fillId="0" borderId="0" xfId="0" applyNumberFormat="1" applyAlignment="1">
      <alignment vertical="center"/>
    </xf>
    <xf numFmtId="0" fontId="9" fillId="0" borderId="0" xfId="6" applyFont="1" applyAlignment="1">
      <alignment vertical="center"/>
    </xf>
    <xf numFmtId="0" fontId="9" fillId="0" borderId="0" xfId="6" applyFont="1" applyAlignment="1">
      <alignment horizontal="center" vertical="center"/>
    </xf>
    <xf numFmtId="0" fontId="9" fillId="0" borderId="0" xfId="6" applyFont="1" applyAlignment="1">
      <alignment horizontal="left" vertical="center"/>
    </xf>
    <xf numFmtId="0" fontId="9" fillId="0" borderId="0" xfId="5" applyFont="1" applyAlignment="1">
      <alignment vertical="center"/>
    </xf>
    <xf numFmtId="0" fontId="9" fillId="0" borderId="0" xfId="5" applyFont="1" applyAlignment="1">
      <alignment horizontal="center" vertical="center"/>
    </xf>
    <xf numFmtId="0" fontId="9" fillId="0" borderId="0" xfId="5" applyFont="1" applyAlignment="1">
      <alignment horizontal="left" vertical="center"/>
    </xf>
  </cellXfs>
  <cellStyles count="7">
    <cellStyle name="Comma0" xfId="1"/>
    <cellStyle name="Currency0" xfId="2"/>
    <cellStyle name="Date" xfId="3"/>
    <cellStyle name="Fixed" xfId="4"/>
    <cellStyle name="Normal" xfId="0" builtinId="0"/>
    <cellStyle name="Normal_A" xfId="5"/>
    <cellStyle name="Normal_A_1" xfId="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0"/>
      <rgbColor rgb="00CCFFFF"/>
      <rgbColor rgb="00660066"/>
      <rgbColor rgb="00FF8080"/>
      <rgbColor rgb="000066CC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NT UMa - O-C Diagr.</a:t>
            </a:r>
          </a:p>
        </c:rich>
      </c:tx>
      <c:layout>
        <c:manualLayout>
          <c:xMode val="edge"/>
          <c:yMode val="edge"/>
          <c:x val="0.38664812239221141"/>
          <c:y val="3.30330330330330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95549374130738"/>
          <c:y val="0.22822889753688513"/>
          <c:w val="0.83171070931849789"/>
          <c:h val="0.5555571847937335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Active!$F$21:$F$230</c:f>
              <c:numCache>
                <c:formatCode>General</c:formatCode>
                <c:ptCount val="210"/>
                <c:pt idx="0">
                  <c:v>0</c:v>
                </c:pt>
                <c:pt idx="1">
                  <c:v>3347</c:v>
                </c:pt>
                <c:pt idx="2">
                  <c:v>3761</c:v>
                </c:pt>
              </c:numCache>
            </c:numRef>
          </c:xVal>
          <c:yVal>
            <c:numRef>
              <c:f>Active!$H$21:$H$230</c:f>
              <c:numCache>
                <c:formatCode>General</c:formatCode>
                <c:ptCount val="2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8AD-46DC-8879-5C030ADDA918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Active!$F$21:$F$230</c:f>
              <c:numCache>
                <c:formatCode>General</c:formatCode>
                <c:ptCount val="210"/>
                <c:pt idx="0">
                  <c:v>0</c:v>
                </c:pt>
                <c:pt idx="1">
                  <c:v>3347</c:v>
                </c:pt>
                <c:pt idx="2">
                  <c:v>3761</c:v>
                </c:pt>
              </c:numCache>
            </c:numRef>
          </c:xVal>
          <c:yVal>
            <c:numRef>
              <c:f>Active!$I$21:$I$230</c:f>
              <c:numCache>
                <c:formatCode>General</c:formatCode>
                <c:ptCount val="210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8AD-46DC-8879-5C030ADDA918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Active!$F$21:$F$230</c:f>
              <c:numCache>
                <c:formatCode>General</c:formatCode>
                <c:ptCount val="210"/>
                <c:pt idx="0">
                  <c:v>0</c:v>
                </c:pt>
                <c:pt idx="1">
                  <c:v>3347</c:v>
                </c:pt>
                <c:pt idx="2">
                  <c:v>3761</c:v>
                </c:pt>
              </c:numCache>
            </c:numRef>
          </c:xVal>
          <c:yVal>
            <c:numRef>
              <c:f>Active!$J$21:$J$230</c:f>
              <c:numCache>
                <c:formatCode>General</c:formatCode>
                <c:ptCount val="2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8AD-46DC-8879-5C030ADDA918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Active!$F$21:$F$230</c:f>
              <c:numCache>
                <c:formatCode>General</c:formatCode>
                <c:ptCount val="210"/>
                <c:pt idx="0">
                  <c:v>0</c:v>
                </c:pt>
                <c:pt idx="1">
                  <c:v>3347</c:v>
                </c:pt>
                <c:pt idx="2">
                  <c:v>3761</c:v>
                </c:pt>
              </c:numCache>
            </c:numRef>
          </c:xVal>
          <c:yVal>
            <c:numRef>
              <c:f>Active!$K$21:$K$230</c:f>
              <c:numCache>
                <c:formatCode>General</c:formatCode>
                <c:ptCount val="210"/>
                <c:pt idx="1">
                  <c:v>-6.0720000001310837E-2</c:v>
                </c:pt>
                <c:pt idx="2">
                  <c:v>-6.7839999850548338E-2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8AD-46DC-8879-5C030ADDA918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Active!$F$21:$F$230</c:f>
              <c:numCache>
                <c:formatCode>General</c:formatCode>
                <c:ptCount val="210"/>
                <c:pt idx="0">
                  <c:v>0</c:v>
                </c:pt>
                <c:pt idx="1">
                  <c:v>3347</c:v>
                </c:pt>
                <c:pt idx="2">
                  <c:v>3761</c:v>
                </c:pt>
              </c:numCache>
            </c:numRef>
          </c:xVal>
          <c:yVal>
            <c:numRef>
              <c:f>Active!$L$21:$L$230</c:f>
              <c:numCache>
                <c:formatCode>General</c:formatCode>
                <c:ptCount val="2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8AD-46DC-8879-5C030ADDA918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Active!$F$21:$F$230</c:f>
              <c:numCache>
                <c:formatCode>General</c:formatCode>
                <c:ptCount val="210"/>
                <c:pt idx="0">
                  <c:v>0</c:v>
                </c:pt>
                <c:pt idx="1">
                  <c:v>3347</c:v>
                </c:pt>
                <c:pt idx="2">
                  <c:v>3761</c:v>
                </c:pt>
              </c:numCache>
            </c:numRef>
          </c:xVal>
          <c:yVal>
            <c:numRef>
              <c:f>Active!$M$21:$M$230</c:f>
              <c:numCache>
                <c:formatCode>General</c:formatCode>
                <c:ptCount val="2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8AD-46DC-8879-5C030ADDA918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Active!$F$21:$F$230</c:f>
              <c:numCache>
                <c:formatCode>General</c:formatCode>
                <c:ptCount val="210"/>
                <c:pt idx="0">
                  <c:v>0</c:v>
                </c:pt>
                <c:pt idx="1">
                  <c:v>3347</c:v>
                </c:pt>
                <c:pt idx="2">
                  <c:v>3761</c:v>
                </c:pt>
              </c:numCache>
            </c:numRef>
          </c:xVal>
          <c:yVal>
            <c:numRef>
              <c:f>Active!$N$21:$N$230</c:f>
              <c:numCache>
                <c:formatCode>General</c:formatCode>
                <c:ptCount val="2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8AD-46DC-8879-5C030ADDA918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Active!$F$21:$F$230</c:f>
              <c:numCache>
                <c:formatCode>General</c:formatCode>
                <c:ptCount val="210"/>
                <c:pt idx="0">
                  <c:v>0</c:v>
                </c:pt>
                <c:pt idx="1">
                  <c:v>3347</c:v>
                </c:pt>
                <c:pt idx="2">
                  <c:v>3761</c:v>
                </c:pt>
              </c:numCache>
            </c:numRef>
          </c:xVal>
          <c:yVal>
            <c:numRef>
              <c:f>Active!$O$21:$O$230</c:f>
              <c:numCache>
                <c:formatCode>General</c:formatCode>
                <c:ptCount val="210"/>
                <c:pt idx="0">
                  <c:v>-2.1210938466992291E-5</c:v>
                </c:pt>
                <c:pt idx="1">
                  <c:v>-6.0527308359826795E-2</c:v>
                </c:pt>
                <c:pt idx="2">
                  <c:v>-6.8011480553565359E-2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8AD-46DC-8879-5C030ADDA9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6610376"/>
        <c:axId val="1"/>
      </c:scatterChart>
      <c:valAx>
        <c:axId val="6166103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87760778859527"/>
              <c:y val="0.8648673870721115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69541029207229E-2"/>
              <c:y val="0.414415675518037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16610376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573018080667594"/>
          <c:y val="0.91291543512015949"/>
          <c:w val="0.58275382475660642"/>
          <c:h val="6.006037533596586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85725</xdr:colOff>
      <xdr:row>0</xdr:row>
      <xdr:rowOff>0</xdr:rowOff>
    </xdr:from>
    <xdr:to>
      <xdr:col>18</xdr:col>
      <xdr:colOff>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B400384E-D5C2-AD84-DB86-E455F07E35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9" sqref="F9"/>
    </sheetView>
  </sheetViews>
  <sheetFormatPr defaultColWidth="10.28515625" defaultRowHeight="12.75" x14ac:dyDescent="0.2"/>
  <cols>
    <col min="1" max="1" width="14.42578125" style="1" customWidth="1"/>
    <col min="2" max="2" width="3.85546875" style="1" customWidth="1"/>
    <col min="3" max="3" width="11.85546875" style="1" customWidth="1"/>
    <col min="4" max="4" width="9.42578125" style="1" customWidth="1"/>
    <col min="5" max="5" width="9.85546875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12" ht="20.25" x14ac:dyDescent="0.3">
      <c r="A1" s="2" t="s">
        <v>0</v>
      </c>
      <c r="E1" s="3"/>
      <c r="F1" s="4" t="s">
        <v>1</v>
      </c>
      <c r="G1" s="3" t="s">
        <v>2</v>
      </c>
      <c r="H1" s="5" t="s">
        <v>3</v>
      </c>
      <c r="I1" s="6">
        <v>51520.823000000004</v>
      </c>
      <c r="J1" s="6">
        <v>1.66439</v>
      </c>
      <c r="K1" s="7" t="s">
        <v>4</v>
      </c>
      <c r="L1" s="8" t="s">
        <v>5</v>
      </c>
    </row>
    <row r="2" spans="1:12" s="9" customFormat="1" ht="12.75" customHeight="1" x14ac:dyDescent="0.2">
      <c r="A2" s="9" t="s">
        <v>6</v>
      </c>
      <c r="B2" s="9" t="s">
        <v>2</v>
      </c>
      <c r="C2" s="10"/>
      <c r="D2" s="10"/>
    </row>
    <row r="3" spans="1:12" s="9" customFormat="1" ht="12.75" customHeight="1" x14ac:dyDescent="0.2"/>
    <row r="4" spans="1:12" s="9" customFormat="1" ht="12.75" customHeight="1" x14ac:dyDescent="0.2">
      <c r="A4" s="11" t="s">
        <v>3</v>
      </c>
      <c r="C4" s="12">
        <v>51520.823000000004</v>
      </c>
      <c r="D4" s="13">
        <v>1.66439</v>
      </c>
    </row>
    <row r="5" spans="1:12" s="9" customFormat="1" ht="12.75" customHeight="1" x14ac:dyDescent="0.2">
      <c r="A5" s="11" t="s">
        <v>7</v>
      </c>
      <c r="C5" s="14">
        <v>-9.5</v>
      </c>
      <c r="D5" s="9" t="s">
        <v>8</v>
      </c>
    </row>
    <row r="6" spans="1:12" s="9" customFormat="1" ht="12.75" customHeight="1" x14ac:dyDescent="0.2">
      <c r="A6" s="4" t="s">
        <v>9</v>
      </c>
    </row>
    <row r="7" spans="1:12" s="9" customFormat="1" ht="12.75" customHeight="1" x14ac:dyDescent="0.2">
      <c r="A7" s="9" t="s">
        <v>10</v>
      </c>
      <c r="C7" s="9">
        <f>+C4</f>
        <v>51520.823000000004</v>
      </c>
    </row>
    <row r="8" spans="1:12" s="9" customFormat="1" ht="12.75" customHeight="1" x14ac:dyDescent="0.2">
      <c r="A8" s="9" t="s">
        <v>11</v>
      </c>
      <c r="C8" s="9">
        <f>+D4</f>
        <v>1.66439</v>
      </c>
    </row>
    <row r="9" spans="1:12" s="9" customFormat="1" ht="12.75" customHeight="1" x14ac:dyDescent="0.2">
      <c r="A9" s="15" t="s">
        <v>12</v>
      </c>
      <c r="B9" s="16">
        <v>21</v>
      </c>
      <c r="C9" s="17" t="str">
        <f>"F"&amp;B9</f>
        <v>F21</v>
      </c>
      <c r="D9" s="18" t="str">
        <f>"G"&amp;B9</f>
        <v>G21</v>
      </c>
    </row>
    <row r="10" spans="1:12" s="9" customFormat="1" ht="12.75" customHeight="1" x14ac:dyDescent="0.2">
      <c r="C10" s="19" t="s">
        <v>13</v>
      </c>
      <c r="D10" s="19" t="s">
        <v>14</v>
      </c>
    </row>
    <row r="11" spans="1:12" s="9" customFormat="1" ht="12.75" customHeight="1" x14ac:dyDescent="0.2">
      <c r="A11" s="9" t="s">
        <v>15</v>
      </c>
      <c r="C11" s="18">
        <f ca="1">INTERCEPT(INDIRECT($D$9):G992,INDIRECT($C$9):F992)</f>
        <v>-2.1210938466992291E-5</v>
      </c>
      <c r="D11" s="20"/>
    </row>
    <row r="12" spans="1:12" s="9" customFormat="1" ht="12.75" customHeight="1" x14ac:dyDescent="0.2">
      <c r="A12" s="9" t="s">
        <v>16</v>
      </c>
      <c r="C12" s="18">
        <f ca="1">SLOPE(INDIRECT($D$9):G992,INDIRECT($C$9):F992)</f>
        <v>-1.8077710612895072E-5</v>
      </c>
      <c r="D12" s="20"/>
    </row>
    <row r="13" spans="1:12" s="9" customFormat="1" ht="12.75" customHeight="1" x14ac:dyDescent="0.2">
      <c r="A13" s="9" t="s">
        <v>17</v>
      </c>
      <c r="C13" s="20" t="s">
        <v>18</v>
      </c>
    </row>
    <row r="14" spans="1:12" s="9" customFormat="1" ht="12.75" customHeight="1" x14ac:dyDescent="0.2"/>
    <row r="15" spans="1:12" s="9" customFormat="1" ht="12.75" customHeight="1" x14ac:dyDescent="0.2">
      <c r="A15" s="4" t="s">
        <v>19</v>
      </c>
      <c r="C15" s="21">
        <f ca="1">(C7+C11)+(C8+C12)*INT(MAX(F21:F3533))</f>
        <v>57780.525778519455</v>
      </c>
      <c r="E15" s="15" t="s">
        <v>20</v>
      </c>
      <c r="F15" s="22">
        <v>1</v>
      </c>
    </row>
    <row r="16" spans="1:12" s="9" customFormat="1" ht="12.75" customHeight="1" x14ac:dyDescent="0.2">
      <c r="A16" s="4" t="s">
        <v>21</v>
      </c>
      <c r="C16" s="21">
        <f ca="1">+C8+C12</f>
        <v>1.6643719222893871</v>
      </c>
      <c r="E16" s="15" t="s">
        <v>22</v>
      </c>
      <c r="F16" s="21">
        <f ca="1">NOW()+15018.5+$C$5/24</f>
        <v>60378.70866157407</v>
      </c>
    </row>
    <row r="17" spans="1:18" s="9" customFormat="1" ht="12.75" customHeight="1" x14ac:dyDescent="0.2">
      <c r="A17" s="15" t="s">
        <v>23</v>
      </c>
      <c r="C17" s="9">
        <f>COUNT(C21:C2191)</f>
        <v>3</v>
      </c>
      <c r="E17" s="15" t="s">
        <v>24</v>
      </c>
      <c r="F17" s="18">
        <f ca="1">ROUND(2*(F16-$C$7)/$C$8,0)/2+F15</f>
        <v>5323</v>
      </c>
    </row>
    <row r="18" spans="1:18" s="9" customFormat="1" ht="12.75" customHeight="1" x14ac:dyDescent="0.2">
      <c r="A18" s="4" t="s">
        <v>25</v>
      </c>
      <c r="C18" s="23">
        <f ca="1">+C15</f>
        <v>57780.525778519455</v>
      </c>
      <c r="D18" s="24">
        <f ca="1">+C16</f>
        <v>1.6643719222893871</v>
      </c>
      <c r="E18" s="15" t="s">
        <v>26</v>
      </c>
      <c r="F18" s="18">
        <f ca="1">ROUND(2*(F16-$C$15)/$C$16,0)/2+F15</f>
        <v>1562</v>
      </c>
    </row>
    <row r="19" spans="1:18" s="9" customFormat="1" ht="12.75" customHeight="1" x14ac:dyDescent="0.2">
      <c r="E19" s="15" t="s">
        <v>27</v>
      </c>
      <c r="F19" s="25">
        <f ca="1">+$C$15+$C$16*F18-15018.5-$C$5/24</f>
        <v>45362.170554468816</v>
      </c>
    </row>
    <row r="20" spans="1:18" s="9" customFormat="1" ht="12.75" customHeight="1" x14ac:dyDescent="0.2">
      <c r="A20" s="19" t="s">
        <v>28</v>
      </c>
      <c r="B20" s="19" t="s">
        <v>29</v>
      </c>
      <c r="C20" s="19" t="s">
        <v>30</v>
      </c>
      <c r="D20" s="19" t="s">
        <v>31</v>
      </c>
      <c r="E20" s="19" t="s">
        <v>32</v>
      </c>
      <c r="F20" s="19" t="s">
        <v>33</v>
      </c>
      <c r="G20" s="19" t="s">
        <v>34</v>
      </c>
      <c r="H20" s="26" t="s">
        <v>35</v>
      </c>
      <c r="I20" s="26" t="s">
        <v>36</v>
      </c>
      <c r="J20" s="26" t="s">
        <v>37</v>
      </c>
      <c r="K20" s="26" t="s">
        <v>38</v>
      </c>
      <c r="L20" s="26" t="s">
        <v>39</v>
      </c>
      <c r="M20" s="26" t="s">
        <v>40</v>
      </c>
      <c r="N20" s="26" t="s">
        <v>41</v>
      </c>
      <c r="O20" s="26" t="s">
        <v>42</v>
      </c>
      <c r="P20" s="26" t="s">
        <v>43</v>
      </c>
      <c r="Q20" s="19" t="s">
        <v>44</v>
      </c>
    </row>
    <row r="21" spans="1:18" s="9" customFormat="1" ht="12.75" customHeight="1" x14ac:dyDescent="0.2">
      <c r="A21" s="9" t="s">
        <v>4</v>
      </c>
      <c r="C21" s="10">
        <v>51520.823000000004</v>
      </c>
      <c r="D21" s="10" t="s">
        <v>18</v>
      </c>
      <c r="E21" s="9">
        <f>+(C21-C$7)/C$8</f>
        <v>0</v>
      </c>
      <c r="F21" s="9">
        <f>ROUND(2*E21,0)/2</f>
        <v>0</v>
      </c>
      <c r="G21" s="9">
        <f>+C21-(C$7+F21*C$8)</f>
        <v>0</v>
      </c>
      <c r="I21" s="9">
        <f>+G21</f>
        <v>0</v>
      </c>
      <c r="O21" s="9">
        <f ca="1">+C$11+C$12*$F21</f>
        <v>-2.1210938466992291E-5</v>
      </c>
      <c r="Q21" s="27">
        <f>+C21-15018.5</f>
        <v>36502.323000000004</v>
      </c>
    </row>
    <row r="22" spans="1:18" s="9" customFormat="1" ht="12.75" customHeight="1" x14ac:dyDescent="0.2">
      <c r="A22" s="28" t="s">
        <v>45</v>
      </c>
      <c r="B22" s="29" t="s">
        <v>46</v>
      </c>
      <c r="C22" s="30">
        <v>57091.475610000001</v>
      </c>
      <c r="D22" s="30">
        <v>2.0000000000000001E-4</v>
      </c>
      <c r="E22" s="9">
        <f>+(C22-C$7)/C$8</f>
        <v>3346.9635181658127</v>
      </c>
      <c r="F22" s="9">
        <f>ROUND(2*E22,0)/2</f>
        <v>3347</v>
      </c>
      <c r="G22" s="9">
        <f>+C22-(C$7+F22*C$8)</f>
        <v>-6.0720000001310837E-2</v>
      </c>
      <c r="K22" s="9">
        <f>+G22</f>
        <v>-6.0720000001310837E-2</v>
      </c>
      <c r="O22" s="9">
        <f ca="1">+C$11+C$12*$F22</f>
        <v>-6.0527308359826795E-2</v>
      </c>
      <c r="Q22" s="27">
        <f>+C22-15018.5</f>
        <v>42072.975610000001</v>
      </c>
      <c r="R22" s="9" t="str">
        <f>IF(ABS(C22-C21)&lt;0.00001,1,"")</f>
        <v/>
      </c>
    </row>
    <row r="23" spans="1:18" s="9" customFormat="1" ht="12.75" customHeight="1" x14ac:dyDescent="0.2">
      <c r="A23" s="31" t="s">
        <v>47</v>
      </c>
      <c r="B23" s="32" t="s">
        <v>46</v>
      </c>
      <c r="C23" s="33">
        <v>57780.525950000156</v>
      </c>
      <c r="D23" s="33">
        <v>2.0000000000000001E-4</v>
      </c>
      <c r="E23" s="9">
        <f>+(C23-C$7)/C$8</f>
        <v>3760.9592403223714</v>
      </c>
      <c r="F23" s="9">
        <f>ROUND(2*E23,0)/2</f>
        <v>3761</v>
      </c>
      <c r="G23" s="9">
        <f>+C23-(C$7+F23*C$8)</f>
        <v>-6.7839999850548338E-2</v>
      </c>
      <c r="K23" s="9">
        <f>+G23</f>
        <v>-6.7839999850548338E-2</v>
      </c>
      <c r="O23" s="9">
        <f ca="1">+C$11+C$12*$F23</f>
        <v>-6.8011480553565359E-2</v>
      </c>
      <c r="Q23" s="27">
        <f>+C23-15018.5</f>
        <v>42762.025950000156</v>
      </c>
    </row>
    <row r="24" spans="1:18" s="9" customFormat="1" ht="12.75" customHeight="1" x14ac:dyDescent="0.2"/>
    <row r="25" spans="1:18" s="9" customFormat="1" ht="12.75" customHeight="1" x14ac:dyDescent="0.2"/>
    <row r="26" spans="1:18" s="9" customFormat="1" ht="12.75" customHeight="1" x14ac:dyDescent="0.2"/>
    <row r="27" spans="1:18" s="9" customFormat="1" ht="12.75" customHeight="1" x14ac:dyDescent="0.2"/>
    <row r="28" spans="1:18" s="9" customFormat="1" ht="12.75" customHeight="1" x14ac:dyDescent="0.2"/>
    <row r="29" spans="1:18" s="9" customFormat="1" ht="12.75" customHeight="1" x14ac:dyDescent="0.2"/>
    <row r="30" spans="1:18" s="9" customFormat="1" ht="12.75" customHeight="1" x14ac:dyDescent="0.2"/>
    <row r="31" spans="1:18" s="9" customFormat="1" ht="12.75" customHeight="1" x14ac:dyDescent="0.2"/>
    <row r="32" spans="1:18" s="9" customFormat="1" ht="12.75" customHeight="1" x14ac:dyDescent="0.2"/>
    <row r="33" s="9" customFormat="1" ht="12.75" customHeight="1" x14ac:dyDescent="0.2"/>
    <row r="34" s="9" customFormat="1" ht="12.75" customHeight="1" x14ac:dyDescent="0.2"/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2024-03-09T04:00:28Z</dcterms:created>
  <dcterms:modified xsi:type="dcterms:W3CDTF">2024-03-09T04:00:28Z</dcterms:modified>
</cp:coreProperties>
</file>