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227C5A6-395C-4B08-B695-7BF5781C837E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2" r:id="rId1"/>
    <sheet name="Graphs 1" sheetId="3" r:id="rId2"/>
    <sheet name="Inactive" sheetId="1" r:id="rId3"/>
  </sheets>
  <calcPr calcId="181029"/>
</workbook>
</file>

<file path=xl/calcChain.xml><?xml version="1.0" encoding="utf-8"?>
<calcChain xmlns="http://schemas.openxmlformats.org/spreadsheetml/2006/main">
  <c r="E33" i="1" l="1"/>
  <c r="F33" i="1"/>
  <c r="G33" i="1"/>
  <c r="I33" i="1"/>
  <c r="Q33" i="1"/>
  <c r="E34" i="1"/>
  <c r="F34" i="1"/>
  <c r="G34" i="1"/>
  <c r="I34" i="1"/>
  <c r="Q34" i="1"/>
  <c r="E35" i="1"/>
  <c r="F35" i="1"/>
  <c r="G35" i="1"/>
  <c r="I35" i="1"/>
  <c r="Q35" i="1"/>
  <c r="E36" i="1"/>
  <c r="F36" i="1"/>
  <c r="G36" i="1"/>
  <c r="I36" i="1"/>
  <c r="Q36" i="1"/>
  <c r="E37" i="1"/>
  <c r="F37" i="1"/>
  <c r="G37" i="1"/>
  <c r="I37" i="1"/>
  <c r="Q37" i="1"/>
  <c r="E38" i="1"/>
  <c r="F38" i="1"/>
  <c r="G38" i="1"/>
  <c r="I38" i="1"/>
  <c r="Q38" i="1"/>
  <c r="E39" i="1"/>
  <c r="F39" i="1"/>
  <c r="G39" i="1"/>
  <c r="I39" i="1"/>
  <c r="Q39" i="1"/>
  <c r="E40" i="1"/>
  <c r="F40" i="1"/>
  <c r="G40" i="1"/>
  <c r="I40" i="1"/>
  <c r="Q40" i="1"/>
  <c r="C14" i="1"/>
  <c r="C18" i="1"/>
  <c r="E21" i="1"/>
  <c r="F21" i="1"/>
  <c r="G21" i="1"/>
  <c r="Q21" i="1"/>
  <c r="E22" i="1"/>
  <c r="F22" i="1"/>
  <c r="G22" i="1"/>
  <c r="N22" i="1"/>
  <c r="Q22" i="1"/>
  <c r="E23" i="1"/>
  <c r="F23" i="1"/>
  <c r="Q23" i="1"/>
  <c r="E24" i="1"/>
  <c r="F24" i="1"/>
  <c r="G24" i="1"/>
  <c r="H24" i="1"/>
  <c r="Q24" i="1"/>
  <c r="S24" i="1"/>
  <c r="E25" i="1"/>
  <c r="F25" i="1"/>
  <c r="G25" i="1"/>
  <c r="I25" i="1"/>
  <c r="Q25" i="1"/>
  <c r="S25" i="1"/>
  <c r="E26" i="1"/>
  <c r="F26" i="1"/>
  <c r="G26" i="1"/>
  <c r="H26" i="1"/>
  <c r="Q26" i="1"/>
  <c r="S26" i="1"/>
  <c r="E27" i="1"/>
  <c r="F27" i="1"/>
  <c r="G27" i="1"/>
  <c r="H27" i="1"/>
  <c r="Q27" i="1"/>
  <c r="S27" i="1"/>
  <c r="E28" i="1"/>
  <c r="F28" i="1"/>
  <c r="G28" i="1"/>
  <c r="H28" i="1"/>
  <c r="Q28" i="1"/>
  <c r="S28" i="1"/>
  <c r="E29" i="1"/>
  <c r="F29" i="1"/>
  <c r="G29" i="1"/>
  <c r="H29" i="1"/>
  <c r="Q29" i="1"/>
  <c r="E30" i="1"/>
  <c r="F30" i="1"/>
  <c r="G30" i="1"/>
  <c r="H30" i="1"/>
  <c r="Q30" i="1"/>
  <c r="E31" i="1"/>
  <c r="F31" i="1"/>
  <c r="G31" i="1"/>
  <c r="I31" i="1"/>
  <c r="Q31" i="1"/>
  <c r="E32" i="1"/>
  <c r="F32" i="1"/>
  <c r="G32" i="1"/>
  <c r="I32" i="1"/>
  <c r="Q32" i="1"/>
  <c r="C9" i="2"/>
  <c r="D9" i="2"/>
  <c r="F16" i="2"/>
  <c r="F17" i="2" s="1"/>
  <c r="C17" i="2"/>
  <c r="E21" i="2"/>
  <c r="F21" i="2"/>
  <c r="G21" i="2"/>
  <c r="H21" i="2"/>
  <c r="Q21" i="2"/>
  <c r="E22" i="2"/>
  <c r="F22" i="2"/>
  <c r="G22" i="2"/>
  <c r="K22" i="2"/>
  <c r="Q22" i="2"/>
  <c r="E23" i="2"/>
  <c r="F23" i="2"/>
  <c r="K23" i="2"/>
  <c r="Q23" i="2"/>
  <c r="E24" i="2"/>
  <c r="F24" i="2"/>
  <c r="G24" i="2"/>
  <c r="K24" i="2"/>
  <c r="Q24" i="2"/>
  <c r="T24" i="2"/>
  <c r="E25" i="2"/>
  <c r="F25" i="2"/>
  <c r="G25" i="2"/>
  <c r="K25" i="2"/>
  <c r="Q25" i="2"/>
  <c r="T25" i="2"/>
  <c r="E26" i="2"/>
  <c r="F26" i="2"/>
  <c r="G26" i="2"/>
  <c r="K26" i="2"/>
  <c r="Q26" i="2"/>
  <c r="T26" i="2"/>
  <c r="E27" i="2"/>
  <c r="F27" i="2"/>
  <c r="G27" i="2"/>
  <c r="K27" i="2"/>
  <c r="Q27" i="2"/>
  <c r="T27" i="2"/>
  <c r="E28" i="2"/>
  <c r="F28" i="2"/>
  <c r="G28" i="2"/>
  <c r="K28" i="2"/>
  <c r="Q28" i="2"/>
  <c r="T28" i="2"/>
  <c r="E29" i="2"/>
  <c r="F29" i="2"/>
  <c r="G29" i="2"/>
  <c r="K29" i="2"/>
  <c r="Q29" i="2"/>
  <c r="E30" i="2"/>
  <c r="F30" i="2"/>
  <c r="G30" i="2"/>
  <c r="K30" i="2"/>
  <c r="Q30" i="2"/>
  <c r="E31" i="2"/>
  <c r="F31" i="2"/>
  <c r="G31" i="2"/>
  <c r="K31" i="2"/>
  <c r="Q31" i="2"/>
  <c r="E32" i="2"/>
  <c r="F32" i="2"/>
  <c r="G32" i="2"/>
  <c r="K32" i="2"/>
  <c r="Q32" i="2"/>
  <c r="E33" i="2"/>
  <c r="F33" i="2"/>
  <c r="G33" i="2"/>
  <c r="K33" i="2"/>
  <c r="Q33" i="2"/>
  <c r="E34" i="2"/>
  <c r="F34" i="2"/>
  <c r="G34" i="2"/>
  <c r="K34" i="2"/>
  <c r="Q34" i="2"/>
  <c r="E35" i="2"/>
  <c r="F35" i="2"/>
  <c r="G35" i="2"/>
  <c r="K35" i="2"/>
  <c r="Q35" i="2"/>
  <c r="E36" i="2"/>
  <c r="F36" i="2"/>
  <c r="G36" i="2"/>
  <c r="K36" i="2"/>
  <c r="Q36" i="2"/>
  <c r="E37" i="2"/>
  <c r="F37" i="2"/>
  <c r="G37" i="2"/>
  <c r="K37" i="2"/>
  <c r="Q37" i="2"/>
  <c r="E38" i="2"/>
  <c r="F38" i="2"/>
  <c r="G38" i="2"/>
  <c r="K38" i="2"/>
  <c r="Q38" i="2"/>
  <c r="E39" i="2"/>
  <c r="F39" i="2"/>
  <c r="G39" i="2"/>
  <c r="K39" i="2"/>
  <c r="Q39" i="2"/>
  <c r="E40" i="2"/>
  <c r="F40" i="2"/>
  <c r="G40" i="2"/>
  <c r="K40" i="2"/>
  <c r="Q40" i="2"/>
  <c r="C11" i="1"/>
  <c r="N21" i="1"/>
  <c r="C12" i="1"/>
  <c r="C16" i="1"/>
  <c r="D18" i="1"/>
  <c r="O35" i="1"/>
  <c r="O39" i="1"/>
  <c r="O40" i="1"/>
  <c r="O34" i="1"/>
  <c r="O38" i="1"/>
  <c r="O33" i="1"/>
  <c r="O37" i="1"/>
  <c r="O36" i="1"/>
  <c r="O22" i="1"/>
  <c r="O30" i="1"/>
  <c r="O21" i="1"/>
  <c r="O24" i="1"/>
  <c r="R24" i="1"/>
  <c r="O25" i="1"/>
  <c r="R25" i="1"/>
  <c r="O26" i="1"/>
  <c r="R26" i="1"/>
  <c r="O27" i="1"/>
  <c r="R27" i="1"/>
  <c r="O28" i="1"/>
  <c r="R28" i="1"/>
  <c r="O29" i="1"/>
  <c r="O23" i="1"/>
  <c r="O32" i="1"/>
  <c r="O31" i="1"/>
  <c r="C12" i="2"/>
  <c r="C11" i="2"/>
  <c r="O33" i="2" l="1"/>
  <c r="O31" i="2"/>
  <c r="O26" i="2"/>
  <c r="S26" i="2" s="1"/>
  <c r="O37" i="2"/>
  <c r="O27" i="2"/>
  <c r="S27" i="2" s="1"/>
  <c r="O23" i="2"/>
  <c r="O30" i="2"/>
  <c r="O28" i="2"/>
  <c r="S28" i="2" s="1"/>
  <c r="O38" i="2"/>
  <c r="O40" i="2"/>
  <c r="O25" i="2"/>
  <c r="S25" i="2" s="1"/>
  <c r="O39" i="2"/>
  <c r="C15" i="2"/>
  <c r="O32" i="2"/>
  <c r="O34" i="2"/>
  <c r="O24" i="2"/>
  <c r="S24" i="2" s="1"/>
  <c r="O36" i="2"/>
  <c r="O21" i="2"/>
  <c r="O29" i="2"/>
  <c r="O35" i="2"/>
  <c r="O22" i="2"/>
  <c r="C16" i="2"/>
  <c r="D18" i="2" s="1"/>
  <c r="F18" i="2" l="1"/>
  <c r="F19" i="2" s="1"/>
  <c r="C18" i="2"/>
</calcChain>
</file>

<file path=xl/sharedStrings.xml><?xml version="1.0" encoding="utf-8"?>
<sst xmlns="http://schemas.openxmlformats.org/spreadsheetml/2006/main" count="168" uniqueCount="71">
  <si>
    <t>GSC 3449-0680</t>
  </si>
  <si>
    <t>GCVS 4 Eph.</t>
  </si>
  <si>
    <t>na</t>
  </si>
  <si>
    <t>lousy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</si>
  <si>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</si>
  <si>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</si>
  <si>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</si>
  <si>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</si>
  <si>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</si>
  <si>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</si>
  <si>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</si>
  <si>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</si>
  <si>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Sum diff² =</t>
  </si>
  <si>
    <t>New epoch =</t>
  </si>
  <si>
    <t>New Period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</si>
  <si>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</si>
  <si>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</si>
  <si>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</si>
  <si>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</si>
  <si>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</si>
  <si>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</si>
  <si>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</si>
  <si>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</si>
  <si>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Nelson</t>
  </si>
  <si>
    <t>Krajci</t>
  </si>
  <si>
    <t>S2</t>
  </si>
  <si>
    <t>S3</t>
  </si>
  <si>
    <t>S4</t>
  </si>
  <si>
    <t>S5</t>
  </si>
  <si>
    <t>Misc</t>
  </si>
  <si>
    <t>Lin Fit</t>
  </si>
  <si>
    <t>Q. Fit</t>
  </si>
  <si>
    <t>Date</t>
  </si>
  <si>
    <t>Interval (days)</t>
  </si>
  <si>
    <t>ROTSE</t>
  </si>
  <si>
    <t>I</t>
  </si>
  <si>
    <t>Dvorak (private comm.)</t>
  </si>
  <si>
    <t>RHN 2004</t>
  </si>
  <si>
    <t>Krajci 2004</t>
  </si>
  <si>
    <t>II</t>
  </si>
  <si>
    <t>RHN 2004 Fa</t>
  </si>
  <si>
    <t>RHN 2004 Fb</t>
  </si>
  <si>
    <t>RHN 2004 I</t>
  </si>
  <si>
    <t>RHN 2004 J</t>
  </si>
  <si>
    <t>RHN 2004 K</t>
  </si>
  <si>
    <t>Krajci 2005</t>
  </si>
  <si>
    <t>V0343 UMa / GSC 3449-0680</t>
  </si>
  <si>
    <t>UMa</t>
  </si>
  <si>
    <t>This period is almost certainly correct.</t>
  </si>
  <si>
    <t>not avail.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</si>
  <si>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</si>
  <si>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</si>
  <si>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</si>
  <si>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</si>
  <si>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</si>
  <si>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# of data points:</t>
  </si>
  <si>
    <t>Old Cycle</t>
  </si>
  <si>
    <t>New Cycle</t>
  </si>
  <si>
    <t>Next ToM</t>
  </si>
  <si>
    <t>pg</t>
  </si>
  <si>
    <t>vis</t>
  </si>
  <si>
    <t>PE</t>
  </si>
  <si>
    <t>CCD</t>
  </si>
  <si>
    <t>IBVS 5602</t>
  </si>
  <si>
    <t>IBVS 5690</t>
  </si>
  <si>
    <t>IBVS 6029</t>
  </si>
  <si>
    <t>IBVS 6048</t>
  </si>
  <si>
    <t>IBVS 6149</t>
  </si>
  <si>
    <t>VSB-064</t>
  </si>
  <si>
    <t>V</t>
  </si>
  <si>
    <t>VSB 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</si>
</sst>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\$#,##0_);&quot;($&quot;#,##0\)"/>
    <numFmt numFmtId="165" formatCode="0.000"/>
    <numFmt numFmtId="166" formatCode="0.0000"/>
    <numFmt numFmtId="167" formatCode="m/d/yyyy"/>
    <numFmt numFmtId="168" formatCode="m/d/yyyy\ h:mm"/>
    <numFmt numFmtId="170" formatCode="d/mm/yyyy;@"/>
  </numFmts>
  <fonts count="13" x14ac:knownFonts="1">
    <font>
      <sz val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2" fillId="0" borderId="0" applyFill="0" applyBorder="0" applyProtection="0">
      <alignment vertical="top"/>
    </xf>
    <xf numFmtId="164" fontId="12" fillId="0" borderId="0" applyFill="0" applyBorder="0" applyProtection="0">
      <alignment vertical="top"/>
    </xf>
    <xf numFmtId="0" fontId="12" fillId="0" borderId="0" applyFill="0" applyBorder="0" applyProtection="0">
      <alignment vertical="top"/>
    </xf>
    <xf numFmtId="2" fontId="12" fillId="0" borderId="0" applyFill="0" applyBorder="0" applyProtection="0">
      <alignment vertical="top"/>
    </xf>
    <xf numFmtId="0" fontId="12" fillId="0" borderId="0"/>
    <xf numFmtId="0" fontId="12" fillId="0" borderId="0"/>
  </cellStyleXfs>
  <cellXfs count="78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5" fontId="4" fillId="0" borderId="0" xfId="0" applyNumberFormat="1" applyFont="1" applyAlignment="1"/>
    <xf numFmtId="165" fontId="0" fillId="0" borderId="0" xfId="0" applyNumberFormat="1" applyAlignment="1"/>
    <xf numFmtId="165" fontId="3" fillId="0" borderId="0" xfId="0" applyNumberFormat="1" applyFont="1" applyAlignment="1"/>
    <xf numFmtId="0" fontId="0" fillId="0" borderId="3" xfId="0" applyFont="1" applyBorder="1" applyAlignment="1">
      <alignment horizontal="center"/>
    </xf>
    <xf numFmtId="0" fontId="5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3" fillId="0" borderId="3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66" fontId="0" fillId="0" borderId="0" xfId="0" applyNumberFormat="1" applyAlignment="1"/>
    <xf numFmtId="166" fontId="0" fillId="0" borderId="0" xfId="0" applyNumberFormat="1" applyFont="1" applyAlignment="1">
      <alignment horizontal="center"/>
    </xf>
    <xf numFmtId="0" fontId="4" fillId="0" borderId="0" xfId="0" applyFont="1" applyAlignment="1"/>
    <xf numFmtId="167" fontId="0" fillId="0" borderId="0" xfId="0" applyNumberFormat="1" applyAlignment="1"/>
    <xf numFmtId="168" fontId="0" fillId="0" borderId="0" xfId="0" applyNumberFormat="1" applyFont="1" applyAlignment="1"/>
    <xf numFmtId="0" fontId="0" fillId="0" borderId="0" xfId="0" applyNumberFormat="1" applyAlignme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>
      <alignment vertical="top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10" fillId="0" borderId="0" xfId="6" applyFont="1" applyAlignment="1">
      <alignment horizontal="left"/>
    </xf>
    <xf numFmtId="0" fontId="10" fillId="0" borderId="0" xfId="6" applyFont="1" applyBorder="1" applyAlignment="1">
      <alignment horizontal="center"/>
    </xf>
    <xf numFmtId="166" fontId="10" fillId="0" borderId="0" xfId="6" applyNumberFormat="1" applyFont="1" applyFill="1" applyBorder="1" applyAlignment="1" applyProtection="1">
      <alignment horizontal="left" vertical="top"/>
    </xf>
    <xf numFmtId="0" fontId="10" fillId="0" borderId="0" xfId="6" applyNumberFormat="1" applyFont="1" applyFill="1" applyBorder="1" applyAlignment="1" applyProtection="1">
      <alignment horizontal="left" vertical="top"/>
    </xf>
    <xf numFmtId="0" fontId="11" fillId="0" borderId="0" xfId="5" applyFont="1"/>
    <xf numFmtId="0" fontId="11" fillId="0" borderId="0" xfId="5" applyFont="1" applyAlignment="1">
      <alignment horizontal="center"/>
    </xf>
    <xf numFmtId="0" fontId="11" fillId="0" borderId="0" xfId="5" applyFont="1" applyAlignment="1">
      <alignment horizontal="left"/>
    </xf>
    <xf numFmtId="170" fontId="0" fillId="0" borderId="0" xfId="0" applyNumberForma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165" fontId="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8" fontId="5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0" fontId="4" fillId="0" borderId="0" xfId="0" applyFont="1" applyAlignment="1">
      <alignment vertical="center"/>
    </xf>
    <xf numFmtId="170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168" fontId="0" fillId="0" borderId="0" xfId="0" applyNumberFormat="1" applyFont="1" applyAlignment="1">
      <alignment vertical="center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165" fontId="9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7">
    <cellStyle name="Comma0" xfId="1"/>
    <cellStyle name="Currency0" xfId="2"/>
    <cellStyle name="Date" xfId="3"/>
    <cellStyle name="Fixed" xfId="4"/>
    <cellStyle name="Normal" xfId="0" builtinId="0"/>
    <cellStyle name="Normal_A" xfId="5"/>
    <cellStyle name="Normal_B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V0343 UMa</a:t>
            </a:r>
            <a:r>
              <a:rPr lang="en-AU" baseline="0"/>
              <a:t>  O-C diagr</a:t>
            </a:r>
            <a:endParaRPr lang="en-AU"/>
          </a:p>
        </c:rich>
      </c:tx>
      <c:layout>
        <c:manualLayout>
          <c:xMode val="edge"/>
          <c:yMode val="edge"/>
          <c:x val="0.15799276019865546"/>
          <c:y val="3.0959752321981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6261041927786"/>
          <c:y val="0.23529411764705882"/>
          <c:w val="0.7676586892813092"/>
          <c:h val="0.541795665634674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1'!$F$21:$F$400</c:f>
              <c:numCache>
                <c:formatCode>General</c:formatCode>
                <c:ptCount val="380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</c:v>
                </c:pt>
                <c:pt idx="12">
                  <c:v>5237</c:v>
                </c:pt>
                <c:pt idx="13">
                  <c:v>5323.5</c:v>
                </c:pt>
                <c:pt idx="14">
                  <c:v>5324</c:v>
                </c:pt>
                <c:pt idx="15">
                  <c:v>5383</c:v>
                </c:pt>
                <c:pt idx="16">
                  <c:v>5998</c:v>
                </c:pt>
                <c:pt idx="17">
                  <c:v>6665</c:v>
                </c:pt>
                <c:pt idx="18">
                  <c:v>8512.5</c:v>
                </c:pt>
                <c:pt idx="19">
                  <c:v>10524.5</c:v>
                </c:pt>
              </c:numCache>
            </c:numRef>
          </c:xVal>
          <c:yVal>
            <c:numRef>
              <c:f>'Active 1'!$H$21:$H$400</c:f>
              <c:numCache>
                <c:formatCode>General</c:formatCode>
                <c:ptCount val="380"/>
                <c:pt idx="0">
                  <c:v>-4.0000013541430235E-6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8B-4FEA-896D-1597B4A47419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1'!$F$21:$F$400</c:f>
              <c:numCache>
                <c:formatCode>General</c:formatCode>
                <c:ptCount val="380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</c:v>
                </c:pt>
                <c:pt idx="12">
                  <c:v>5237</c:v>
                </c:pt>
                <c:pt idx="13">
                  <c:v>5323.5</c:v>
                </c:pt>
                <c:pt idx="14">
                  <c:v>5324</c:v>
                </c:pt>
                <c:pt idx="15">
                  <c:v>5383</c:v>
                </c:pt>
                <c:pt idx="16">
                  <c:v>5998</c:v>
                </c:pt>
                <c:pt idx="17">
                  <c:v>6665</c:v>
                </c:pt>
                <c:pt idx="18">
                  <c:v>8512.5</c:v>
                </c:pt>
                <c:pt idx="19">
                  <c:v>10524.5</c:v>
                </c:pt>
              </c:numCache>
            </c:numRef>
          </c:xVal>
          <c:yVal>
            <c:numRef>
              <c:f>'Active 1'!$I$21:$I$400</c:f>
              <c:numCache>
                <c:formatCode>General</c:formatCode>
                <c:ptCount val="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8B-4FEA-896D-1597B4A47419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1'!$F$21:$F$400</c:f>
              <c:numCache>
                <c:formatCode>General</c:formatCode>
                <c:ptCount val="380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</c:v>
                </c:pt>
                <c:pt idx="12">
                  <c:v>5237</c:v>
                </c:pt>
                <c:pt idx="13">
                  <c:v>5323.5</c:v>
                </c:pt>
                <c:pt idx="14">
                  <c:v>5324</c:v>
                </c:pt>
                <c:pt idx="15">
                  <c:v>5383</c:v>
                </c:pt>
                <c:pt idx="16">
                  <c:v>5998</c:v>
                </c:pt>
                <c:pt idx="17">
                  <c:v>6665</c:v>
                </c:pt>
                <c:pt idx="18">
                  <c:v>8512.5</c:v>
                </c:pt>
                <c:pt idx="19">
                  <c:v>10524.5</c:v>
                </c:pt>
              </c:numCache>
            </c:numRef>
          </c:xVal>
          <c:yVal>
            <c:numRef>
              <c:f>'Active 1'!$J$21:$J$400</c:f>
              <c:numCache>
                <c:formatCode>General</c:formatCode>
                <c:ptCount val="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8B-4FEA-896D-1597B4A47419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1'!$F$21:$F$400</c:f>
              <c:numCache>
                <c:formatCode>General</c:formatCode>
                <c:ptCount val="380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</c:v>
                </c:pt>
                <c:pt idx="12">
                  <c:v>5237</c:v>
                </c:pt>
                <c:pt idx="13">
                  <c:v>5323.5</c:v>
                </c:pt>
                <c:pt idx="14">
                  <c:v>5324</c:v>
                </c:pt>
                <c:pt idx="15">
                  <c:v>5383</c:v>
                </c:pt>
                <c:pt idx="16">
                  <c:v>5998</c:v>
                </c:pt>
                <c:pt idx="17">
                  <c:v>6665</c:v>
                </c:pt>
                <c:pt idx="18">
                  <c:v>8512.5</c:v>
                </c:pt>
                <c:pt idx="19">
                  <c:v>10524.5</c:v>
                </c:pt>
              </c:numCache>
            </c:numRef>
          </c:xVal>
          <c:yVal>
            <c:numRef>
              <c:f>'Active 1'!$K$21:$K$400</c:f>
              <c:numCache>
                <c:formatCode>General</c:formatCode>
                <c:ptCount val="380"/>
                <c:pt idx="1">
                  <c:v>-4.9809999982244335E-3</c:v>
                </c:pt>
                <c:pt idx="2">
                  <c:v>0</c:v>
                </c:pt>
                <c:pt idx="3">
                  <c:v>6.5639999957056716E-3</c:v>
                </c:pt>
                <c:pt idx="4">
                  <c:v>3.1565000026603229E-3</c:v>
                </c:pt>
                <c:pt idx="5">
                  <c:v>8.8136234262492508E-4</c:v>
                </c:pt>
                <c:pt idx="6">
                  <c:v>3.1972955184755847E-4</c:v>
                </c:pt>
                <c:pt idx="7">
                  <c:v>7.7500000043073669E-4</c:v>
                </c:pt>
                <c:pt idx="8">
                  <c:v>5.1499991968739778E-5</c:v>
                </c:pt>
                <c:pt idx="9">
                  <c:v>3.0771053861826658E-3</c:v>
                </c:pt>
                <c:pt idx="10">
                  <c:v>1.1689999955706298E-3</c:v>
                </c:pt>
                <c:pt idx="11">
                  <c:v>8.459999953629449E-4</c:v>
                </c:pt>
                <c:pt idx="12">
                  <c:v>-4.3910000022151507E-3</c:v>
                </c:pt>
                <c:pt idx="13">
                  <c:v>-1.7105000006267801E-3</c:v>
                </c:pt>
                <c:pt idx="14">
                  <c:v>-5.8320000025560148E-3</c:v>
                </c:pt>
                <c:pt idx="15">
                  <c:v>-3.3690000054775737E-3</c:v>
                </c:pt>
                <c:pt idx="16">
                  <c:v>-3.514000003633555E-3</c:v>
                </c:pt>
                <c:pt idx="17">
                  <c:v>-1.0195000002568122E-2</c:v>
                </c:pt>
                <c:pt idx="18">
                  <c:v>-8.7375000002793968E-3</c:v>
                </c:pt>
                <c:pt idx="19">
                  <c:v>-2.5350000214530155E-4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8B-4FEA-896D-1597B4A47419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1'!$F$21:$F$400</c:f>
              <c:numCache>
                <c:formatCode>General</c:formatCode>
                <c:ptCount val="380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</c:v>
                </c:pt>
                <c:pt idx="12">
                  <c:v>5237</c:v>
                </c:pt>
                <c:pt idx="13">
                  <c:v>5323.5</c:v>
                </c:pt>
                <c:pt idx="14">
                  <c:v>5324</c:v>
                </c:pt>
                <c:pt idx="15">
                  <c:v>5383</c:v>
                </c:pt>
                <c:pt idx="16">
                  <c:v>5998</c:v>
                </c:pt>
                <c:pt idx="17">
                  <c:v>6665</c:v>
                </c:pt>
                <c:pt idx="18">
                  <c:v>8512.5</c:v>
                </c:pt>
                <c:pt idx="19">
                  <c:v>10524.5</c:v>
                </c:pt>
              </c:numCache>
            </c:numRef>
          </c:xVal>
          <c:yVal>
            <c:numRef>
              <c:f>'Active 1'!$L$21:$L$400</c:f>
              <c:numCache>
                <c:formatCode>General</c:formatCode>
                <c:ptCount val="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8B-4FEA-896D-1597B4A4741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1'!$F$21:$F$400</c:f>
              <c:numCache>
                <c:formatCode>General</c:formatCode>
                <c:ptCount val="380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</c:v>
                </c:pt>
                <c:pt idx="12">
                  <c:v>5237</c:v>
                </c:pt>
                <c:pt idx="13">
                  <c:v>5323.5</c:v>
                </c:pt>
                <c:pt idx="14">
                  <c:v>5324</c:v>
                </c:pt>
                <c:pt idx="15">
                  <c:v>5383</c:v>
                </c:pt>
                <c:pt idx="16">
                  <c:v>5998</c:v>
                </c:pt>
                <c:pt idx="17">
                  <c:v>6665</c:v>
                </c:pt>
                <c:pt idx="18">
                  <c:v>8512.5</c:v>
                </c:pt>
                <c:pt idx="19">
                  <c:v>10524.5</c:v>
                </c:pt>
              </c:numCache>
            </c:numRef>
          </c:xVal>
          <c:yVal>
            <c:numRef>
              <c:f>'Active 1'!$M$21:$M$400</c:f>
              <c:numCache>
                <c:formatCode>General</c:formatCode>
                <c:ptCount val="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8B-4FEA-896D-1597B4A4741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1'!$F$21:$F$400</c:f>
              <c:numCache>
                <c:formatCode>General</c:formatCode>
                <c:ptCount val="380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</c:v>
                </c:pt>
                <c:pt idx="12">
                  <c:v>5237</c:v>
                </c:pt>
                <c:pt idx="13">
                  <c:v>5323.5</c:v>
                </c:pt>
                <c:pt idx="14">
                  <c:v>5324</c:v>
                </c:pt>
                <c:pt idx="15">
                  <c:v>5383</c:v>
                </c:pt>
                <c:pt idx="16">
                  <c:v>5998</c:v>
                </c:pt>
                <c:pt idx="17">
                  <c:v>6665</c:v>
                </c:pt>
                <c:pt idx="18">
                  <c:v>8512.5</c:v>
                </c:pt>
                <c:pt idx="19">
                  <c:v>10524.5</c:v>
                </c:pt>
              </c:numCache>
            </c:numRef>
          </c:xVal>
          <c:yVal>
            <c:numRef>
              <c:f>'Active 1'!$N$21:$N$400</c:f>
              <c:numCache>
                <c:formatCode>General</c:formatCode>
                <c:ptCount val="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8B-4FEA-896D-1597B4A4741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1'!$F$21:$F$400</c:f>
              <c:numCache>
                <c:formatCode>General</c:formatCode>
                <c:ptCount val="380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</c:v>
                </c:pt>
                <c:pt idx="12">
                  <c:v>5237</c:v>
                </c:pt>
                <c:pt idx="13">
                  <c:v>5323.5</c:v>
                </c:pt>
                <c:pt idx="14">
                  <c:v>5324</c:v>
                </c:pt>
                <c:pt idx="15">
                  <c:v>5383</c:v>
                </c:pt>
                <c:pt idx="16">
                  <c:v>5998</c:v>
                </c:pt>
                <c:pt idx="17">
                  <c:v>6665</c:v>
                </c:pt>
                <c:pt idx="18">
                  <c:v>8512.5</c:v>
                </c:pt>
                <c:pt idx="19">
                  <c:v>10524.5</c:v>
                </c:pt>
              </c:numCache>
            </c:numRef>
          </c:xVal>
          <c:yVal>
            <c:numRef>
              <c:f>'Active 1'!$O$21:$O$400</c:f>
              <c:numCache>
                <c:formatCode>General</c:formatCode>
                <c:ptCount val="380"/>
                <c:pt idx="0">
                  <c:v>2.2904769118130405E-3</c:v>
                </c:pt>
                <c:pt idx="1">
                  <c:v>9.38463100193909E-4</c:v>
                </c:pt>
                <c:pt idx="2">
                  <c:v>4.9708881305883415E-4</c:v>
                </c:pt>
                <c:pt idx="3">
                  <c:v>4.6083057778075533E-4</c:v>
                </c:pt>
                <c:pt idx="4">
                  <c:v>4.5908739339238616E-4</c:v>
                </c:pt>
                <c:pt idx="5">
                  <c:v>4.5490375086030014E-4</c:v>
                </c:pt>
                <c:pt idx="6">
                  <c:v>4.5455511398262628E-4</c:v>
                </c:pt>
                <c:pt idx="7">
                  <c:v>4.4479328140775893E-4</c:v>
                </c:pt>
                <c:pt idx="8">
                  <c:v>4.3468281195521772E-4</c:v>
                </c:pt>
                <c:pt idx="9">
                  <c:v>4.3119644317847938E-4</c:v>
                </c:pt>
                <c:pt idx="10">
                  <c:v>4.155077836831568E-4</c:v>
                </c:pt>
                <c:pt idx="11">
                  <c:v>2.4337206933114071E-5</c:v>
                </c:pt>
                <c:pt idx="12">
                  <c:v>-3.154533843696912E-3</c:v>
                </c:pt>
                <c:pt idx="13">
                  <c:v>-3.2148480235344853E-3</c:v>
                </c:pt>
                <c:pt idx="14">
                  <c:v>-3.215196660412159E-3</c:v>
                </c:pt>
                <c:pt idx="15">
                  <c:v>-3.2563358119776717E-3</c:v>
                </c:pt>
                <c:pt idx="16">
                  <c:v>-3.6851591715164889E-3</c:v>
                </c:pt>
                <c:pt idx="17">
                  <c:v>-4.1502407663333843E-3</c:v>
                </c:pt>
                <c:pt idx="18">
                  <c:v>-5.4384540293382043E-3</c:v>
                </c:pt>
                <c:pt idx="19">
                  <c:v>-6.8413688250977154E-3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8B-4FEA-896D-1597B4A47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5493224"/>
        <c:axId val="1"/>
      </c:scatterChart>
      <c:valAx>
        <c:axId val="325493224"/>
        <c:scaling>
          <c:orientation val="minMax"/>
          <c:min val="-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30522299954141"/>
              <c:y val="0.86068111455108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620817843866169E-2"/>
              <c:y val="0.411764705882352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54932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55781596073725"/>
          <c:y val="0.91331269349845201"/>
          <c:w val="0.77881118949350658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V0343 UMa  O-C Diagr</a:t>
            </a:r>
          </a:p>
        </c:rich>
      </c:tx>
      <c:layout>
        <c:manualLayout>
          <c:xMode val="edge"/>
          <c:yMode val="edge"/>
          <c:x val="0.1280148423005566"/>
          <c:y val="3.076923076923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54174397031541"/>
          <c:y val="0.23384650517804265"/>
          <c:w val="0.7717996289424861"/>
          <c:h val="0.5446162028488624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1'!$F$21:$F$400</c:f>
              <c:numCache>
                <c:formatCode>General</c:formatCode>
                <c:ptCount val="380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</c:v>
                </c:pt>
                <c:pt idx="12">
                  <c:v>5237</c:v>
                </c:pt>
                <c:pt idx="13">
                  <c:v>5323.5</c:v>
                </c:pt>
                <c:pt idx="14">
                  <c:v>5324</c:v>
                </c:pt>
                <c:pt idx="15">
                  <c:v>5383</c:v>
                </c:pt>
                <c:pt idx="16">
                  <c:v>5998</c:v>
                </c:pt>
                <c:pt idx="17">
                  <c:v>6665</c:v>
                </c:pt>
                <c:pt idx="18">
                  <c:v>8512.5</c:v>
                </c:pt>
                <c:pt idx="19">
                  <c:v>10524.5</c:v>
                </c:pt>
              </c:numCache>
            </c:numRef>
          </c:xVal>
          <c:yVal>
            <c:numRef>
              <c:f>'Active 1'!$H$21:$H$400</c:f>
              <c:numCache>
                <c:formatCode>General</c:formatCode>
                <c:ptCount val="380"/>
                <c:pt idx="0">
                  <c:v>-4.0000013541430235E-6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6E-408E-92CE-C71937315DF3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1'!$F$21:$F$400</c:f>
              <c:numCache>
                <c:formatCode>General</c:formatCode>
                <c:ptCount val="380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</c:v>
                </c:pt>
                <c:pt idx="12">
                  <c:v>5237</c:v>
                </c:pt>
                <c:pt idx="13">
                  <c:v>5323.5</c:v>
                </c:pt>
                <c:pt idx="14">
                  <c:v>5324</c:v>
                </c:pt>
                <c:pt idx="15">
                  <c:v>5383</c:v>
                </c:pt>
                <c:pt idx="16">
                  <c:v>5998</c:v>
                </c:pt>
                <c:pt idx="17">
                  <c:v>6665</c:v>
                </c:pt>
                <c:pt idx="18">
                  <c:v>8512.5</c:v>
                </c:pt>
                <c:pt idx="19">
                  <c:v>10524.5</c:v>
                </c:pt>
              </c:numCache>
            </c:numRef>
          </c:xVal>
          <c:yVal>
            <c:numRef>
              <c:f>'Active 1'!$I$21:$I$400</c:f>
              <c:numCache>
                <c:formatCode>General</c:formatCode>
                <c:ptCount val="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6E-408E-92CE-C71937315DF3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1'!$F$21:$F$400</c:f>
              <c:numCache>
                <c:formatCode>General</c:formatCode>
                <c:ptCount val="380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</c:v>
                </c:pt>
                <c:pt idx="12">
                  <c:v>5237</c:v>
                </c:pt>
                <c:pt idx="13">
                  <c:v>5323.5</c:v>
                </c:pt>
                <c:pt idx="14">
                  <c:v>5324</c:v>
                </c:pt>
                <c:pt idx="15">
                  <c:v>5383</c:v>
                </c:pt>
                <c:pt idx="16">
                  <c:v>5998</c:v>
                </c:pt>
                <c:pt idx="17">
                  <c:v>6665</c:v>
                </c:pt>
                <c:pt idx="18">
                  <c:v>8512.5</c:v>
                </c:pt>
                <c:pt idx="19">
                  <c:v>10524.5</c:v>
                </c:pt>
              </c:numCache>
            </c:numRef>
          </c:xVal>
          <c:yVal>
            <c:numRef>
              <c:f>'Active 1'!$J$21:$J$400</c:f>
              <c:numCache>
                <c:formatCode>General</c:formatCode>
                <c:ptCount val="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6E-408E-92CE-C71937315DF3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1'!$F$21:$F$400</c:f>
              <c:numCache>
                <c:formatCode>General</c:formatCode>
                <c:ptCount val="380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</c:v>
                </c:pt>
                <c:pt idx="12">
                  <c:v>5237</c:v>
                </c:pt>
                <c:pt idx="13">
                  <c:v>5323.5</c:v>
                </c:pt>
                <c:pt idx="14">
                  <c:v>5324</c:v>
                </c:pt>
                <c:pt idx="15">
                  <c:v>5383</c:v>
                </c:pt>
                <c:pt idx="16">
                  <c:v>5998</c:v>
                </c:pt>
                <c:pt idx="17">
                  <c:v>6665</c:v>
                </c:pt>
                <c:pt idx="18">
                  <c:v>8512.5</c:v>
                </c:pt>
                <c:pt idx="19">
                  <c:v>10524.5</c:v>
                </c:pt>
              </c:numCache>
            </c:numRef>
          </c:xVal>
          <c:yVal>
            <c:numRef>
              <c:f>'Active 1'!$K$21:$K$400</c:f>
              <c:numCache>
                <c:formatCode>General</c:formatCode>
                <c:ptCount val="380"/>
                <c:pt idx="1">
                  <c:v>-4.9809999982244335E-3</c:v>
                </c:pt>
                <c:pt idx="2">
                  <c:v>0</c:v>
                </c:pt>
                <c:pt idx="3">
                  <c:v>6.5639999957056716E-3</c:v>
                </c:pt>
                <c:pt idx="4">
                  <c:v>3.1565000026603229E-3</c:v>
                </c:pt>
                <c:pt idx="5">
                  <c:v>8.8136234262492508E-4</c:v>
                </c:pt>
                <c:pt idx="6">
                  <c:v>3.1972955184755847E-4</c:v>
                </c:pt>
                <c:pt idx="7">
                  <c:v>7.7500000043073669E-4</c:v>
                </c:pt>
                <c:pt idx="8">
                  <c:v>5.1499991968739778E-5</c:v>
                </c:pt>
                <c:pt idx="9">
                  <c:v>3.0771053861826658E-3</c:v>
                </c:pt>
                <c:pt idx="10">
                  <c:v>1.1689999955706298E-3</c:v>
                </c:pt>
                <c:pt idx="11">
                  <c:v>8.459999953629449E-4</c:v>
                </c:pt>
                <c:pt idx="12">
                  <c:v>-4.3910000022151507E-3</c:v>
                </c:pt>
                <c:pt idx="13">
                  <c:v>-1.7105000006267801E-3</c:v>
                </c:pt>
                <c:pt idx="14">
                  <c:v>-5.8320000025560148E-3</c:v>
                </c:pt>
                <c:pt idx="15">
                  <c:v>-3.3690000054775737E-3</c:v>
                </c:pt>
                <c:pt idx="16">
                  <c:v>-3.514000003633555E-3</c:v>
                </c:pt>
                <c:pt idx="17">
                  <c:v>-1.0195000002568122E-2</c:v>
                </c:pt>
                <c:pt idx="18">
                  <c:v>-8.7375000002793968E-3</c:v>
                </c:pt>
                <c:pt idx="19">
                  <c:v>-2.5350000214530155E-4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6E-408E-92CE-C71937315DF3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1'!$F$21:$F$400</c:f>
              <c:numCache>
                <c:formatCode>General</c:formatCode>
                <c:ptCount val="380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</c:v>
                </c:pt>
                <c:pt idx="12">
                  <c:v>5237</c:v>
                </c:pt>
                <c:pt idx="13">
                  <c:v>5323.5</c:v>
                </c:pt>
                <c:pt idx="14">
                  <c:v>5324</c:v>
                </c:pt>
                <c:pt idx="15">
                  <c:v>5383</c:v>
                </c:pt>
                <c:pt idx="16">
                  <c:v>5998</c:v>
                </c:pt>
                <c:pt idx="17">
                  <c:v>6665</c:v>
                </c:pt>
                <c:pt idx="18">
                  <c:v>8512.5</c:v>
                </c:pt>
                <c:pt idx="19">
                  <c:v>10524.5</c:v>
                </c:pt>
              </c:numCache>
            </c:numRef>
          </c:xVal>
          <c:yVal>
            <c:numRef>
              <c:f>'Active 1'!$L$21:$L$400</c:f>
              <c:numCache>
                <c:formatCode>General</c:formatCode>
                <c:ptCount val="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6E-408E-92CE-C71937315DF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1'!$F$21:$F$400</c:f>
              <c:numCache>
                <c:formatCode>General</c:formatCode>
                <c:ptCount val="380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</c:v>
                </c:pt>
                <c:pt idx="12">
                  <c:v>5237</c:v>
                </c:pt>
                <c:pt idx="13">
                  <c:v>5323.5</c:v>
                </c:pt>
                <c:pt idx="14">
                  <c:v>5324</c:v>
                </c:pt>
                <c:pt idx="15">
                  <c:v>5383</c:v>
                </c:pt>
                <c:pt idx="16">
                  <c:v>5998</c:v>
                </c:pt>
                <c:pt idx="17">
                  <c:v>6665</c:v>
                </c:pt>
                <c:pt idx="18">
                  <c:v>8512.5</c:v>
                </c:pt>
                <c:pt idx="19">
                  <c:v>10524.5</c:v>
                </c:pt>
              </c:numCache>
            </c:numRef>
          </c:xVal>
          <c:yVal>
            <c:numRef>
              <c:f>'Active 1'!$M$21:$M$400</c:f>
              <c:numCache>
                <c:formatCode>General</c:formatCode>
                <c:ptCount val="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6E-408E-92CE-C71937315DF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1'!$F$21:$F$400</c:f>
              <c:numCache>
                <c:formatCode>General</c:formatCode>
                <c:ptCount val="380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</c:v>
                </c:pt>
                <c:pt idx="12">
                  <c:v>5237</c:v>
                </c:pt>
                <c:pt idx="13">
                  <c:v>5323.5</c:v>
                </c:pt>
                <c:pt idx="14">
                  <c:v>5324</c:v>
                </c:pt>
                <c:pt idx="15">
                  <c:v>5383</c:v>
                </c:pt>
                <c:pt idx="16">
                  <c:v>5998</c:v>
                </c:pt>
                <c:pt idx="17">
                  <c:v>6665</c:v>
                </c:pt>
                <c:pt idx="18">
                  <c:v>8512.5</c:v>
                </c:pt>
                <c:pt idx="19">
                  <c:v>10524.5</c:v>
                </c:pt>
              </c:numCache>
            </c:numRef>
          </c:xVal>
          <c:yVal>
            <c:numRef>
              <c:f>'Active 1'!$N$21:$N$400</c:f>
              <c:numCache>
                <c:formatCode>General</c:formatCode>
                <c:ptCount val="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6E-408E-92CE-C71937315DF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1'!$F$21:$F$400</c:f>
              <c:numCache>
                <c:formatCode>General</c:formatCode>
                <c:ptCount val="380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</c:v>
                </c:pt>
                <c:pt idx="12">
                  <c:v>5237</c:v>
                </c:pt>
                <c:pt idx="13">
                  <c:v>5323.5</c:v>
                </c:pt>
                <c:pt idx="14">
                  <c:v>5324</c:v>
                </c:pt>
                <c:pt idx="15">
                  <c:v>5383</c:v>
                </c:pt>
                <c:pt idx="16">
                  <c:v>5998</c:v>
                </c:pt>
                <c:pt idx="17">
                  <c:v>6665</c:v>
                </c:pt>
                <c:pt idx="18">
                  <c:v>8512.5</c:v>
                </c:pt>
                <c:pt idx="19">
                  <c:v>10524.5</c:v>
                </c:pt>
              </c:numCache>
            </c:numRef>
          </c:xVal>
          <c:yVal>
            <c:numRef>
              <c:f>'Active 1'!$O$21:$O$400</c:f>
              <c:numCache>
                <c:formatCode>General</c:formatCode>
                <c:ptCount val="380"/>
                <c:pt idx="0">
                  <c:v>2.2904769118130405E-3</c:v>
                </c:pt>
                <c:pt idx="1">
                  <c:v>9.38463100193909E-4</c:v>
                </c:pt>
                <c:pt idx="2">
                  <c:v>4.9708881305883415E-4</c:v>
                </c:pt>
                <c:pt idx="3">
                  <c:v>4.6083057778075533E-4</c:v>
                </c:pt>
                <c:pt idx="4">
                  <c:v>4.5908739339238616E-4</c:v>
                </c:pt>
                <c:pt idx="5">
                  <c:v>4.5490375086030014E-4</c:v>
                </c:pt>
                <c:pt idx="6">
                  <c:v>4.5455511398262628E-4</c:v>
                </c:pt>
                <c:pt idx="7">
                  <c:v>4.4479328140775893E-4</c:v>
                </c:pt>
                <c:pt idx="8">
                  <c:v>4.3468281195521772E-4</c:v>
                </c:pt>
                <c:pt idx="9">
                  <c:v>4.3119644317847938E-4</c:v>
                </c:pt>
                <c:pt idx="10">
                  <c:v>4.155077836831568E-4</c:v>
                </c:pt>
                <c:pt idx="11">
                  <c:v>2.4337206933114071E-5</c:v>
                </c:pt>
                <c:pt idx="12">
                  <c:v>-3.154533843696912E-3</c:v>
                </c:pt>
                <c:pt idx="13">
                  <c:v>-3.2148480235344853E-3</c:v>
                </c:pt>
                <c:pt idx="14">
                  <c:v>-3.215196660412159E-3</c:v>
                </c:pt>
                <c:pt idx="15">
                  <c:v>-3.2563358119776717E-3</c:v>
                </c:pt>
                <c:pt idx="16">
                  <c:v>-3.6851591715164889E-3</c:v>
                </c:pt>
                <c:pt idx="17">
                  <c:v>-4.1502407663333843E-3</c:v>
                </c:pt>
                <c:pt idx="18">
                  <c:v>-5.4384540293382043E-3</c:v>
                </c:pt>
                <c:pt idx="19">
                  <c:v>-6.8413688250977154E-3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6E-408E-92CE-C71937315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820232"/>
        <c:axId val="1"/>
      </c:scatterChart>
      <c:valAx>
        <c:axId val="722820232"/>
        <c:scaling>
          <c:orientation val="minMax"/>
          <c:max val="1000"/>
          <c:min val="-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4638218923938"/>
              <c:y val="0.86153975368463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513914656771803E-2"/>
              <c:y val="0.412308338380779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8202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842300556586271"/>
          <c:y val="0.91384744599232781"/>
          <c:w val="0.77736549165120594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3449-0680:  Min I (hel) = 53024.76 + 0.56041 E</a:t>
            </a:r>
          </a:p>
        </c:rich>
      </c:tx>
      <c:layout>
        <c:manualLayout>
          <c:xMode val="edge"/>
          <c:yMode val="edge"/>
          <c:x val="0.13479071946607765"/>
          <c:y val="3.0959752321981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9920843153822"/>
          <c:y val="0.23529411764705882"/>
          <c:w val="0.78324365188775735"/>
          <c:h val="0.54179566563467496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Inactive!$H$20:$H$20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Inactive!$F$21:$F$32</c:f>
              <c:numCache>
                <c:formatCode>General</c:formatCode>
                <c:ptCount val="12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678.5</c:v>
                </c:pt>
              </c:numCache>
            </c:numRef>
          </c:xVal>
          <c:yVal>
            <c:numRef>
              <c:f>Inactive!$H$21:$H$32</c:f>
              <c:numCache>
                <c:formatCode>General</c:formatCode>
                <c:ptCount val="12"/>
                <c:pt idx="2">
                  <c:v>0</c:v>
                </c:pt>
                <c:pt idx="3">
                  <c:v>1.8498594625270925E-2</c:v>
                </c:pt>
                <c:pt idx="5">
                  <c:v>1.476680416817544E-2</c:v>
                </c:pt>
                <c:pt idx="6">
                  <c:v>1.4319927096948959E-2</c:v>
                </c:pt>
                <c:pt idx="7">
                  <c:v>1.7988357634749264E-2</c:v>
                </c:pt>
                <c:pt idx="8">
                  <c:v>2.0592773442331236E-2</c:v>
                </c:pt>
                <c:pt idx="9">
                  <c:v>2.4765936010226142E-2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FE-4D73-9EA5-B3FB79B1C799}"/>
            </c:ext>
          </c:extLst>
        </c:ser>
        <c:ser>
          <c:idx val="1"/>
          <c:order val="1"/>
          <c:tx>
            <c:strRef>
              <c:f>Inactive!$I$20:$I$20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Inactive!$F$21:$F$32</c:f>
              <c:numCache>
                <c:formatCode>General</c:formatCode>
                <c:ptCount val="12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678.5</c:v>
                </c:pt>
              </c:numCache>
            </c:numRef>
          </c:xVal>
          <c:yVal>
            <c:numRef>
              <c:f>Inactive!$I$21:$I$32</c:f>
              <c:numCache>
                <c:formatCode>General</c:formatCode>
                <c:ptCount val="12"/>
                <c:pt idx="4">
                  <c:v>1.5664873215428088E-2</c:v>
                </c:pt>
                <c:pt idx="10">
                  <c:v>2.8021837904816493E-2</c:v>
                </c:pt>
                <c:pt idx="11">
                  <c:v>-0.12375199125381187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FE-4D73-9EA5-B3FB79B1C799}"/>
            </c:ext>
          </c:extLst>
        </c:ser>
        <c:ser>
          <c:idx val="2"/>
          <c:order val="2"/>
          <c:tx>
            <c:strRef>
              <c:f>Inactive!$J$20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Inactive!$F$21:$F$32</c:f>
              <c:numCache>
                <c:formatCode>General</c:formatCode>
                <c:ptCount val="12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678.5</c:v>
                </c:pt>
              </c:numCache>
            </c:numRef>
          </c:xVal>
          <c:yVal>
            <c:numRef>
              <c:f>Inactive!$J$21:$J$32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FE-4D73-9EA5-B3FB79B1C799}"/>
            </c:ext>
          </c:extLst>
        </c:ser>
        <c:ser>
          <c:idx val="3"/>
          <c:order val="3"/>
          <c:tx>
            <c:strRef>
              <c:f>Inactive!$K$20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Inactive!$F$21:$F$32</c:f>
              <c:numCache>
                <c:formatCode>General</c:formatCode>
                <c:ptCount val="12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678.5</c:v>
                </c:pt>
              </c:numCache>
            </c:numRef>
          </c:xVal>
          <c:yVal>
            <c:numRef>
              <c:f>Inactive!$K$21:$K$32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FE-4D73-9EA5-B3FB79B1C799}"/>
            </c:ext>
          </c:extLst>
        </c:ser>
        <c:ser>
          <c:idx val="4"/>
          <c:order val="4"/>
          <c:tx>
            <c:strRef>
              <c:f>Inactive!$L$20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Inactive!$F$21:$F$32</c:f>
              <c:numCache>
                <c:formatCode>General</c:formatCode>
                <c:ptCount val="12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678.5</c:v>
                </c:pt>
              </c:numCache>
            </c:numRef>
          </c:xVal>
          <c:yVal>
            <c:numRef>
              <c:f>Inactive!$L$21:$L$32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FE-4D73-9EA5-B3FB79B1C799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Inactive!$F$21:$F$32</c:f>
              <c:numCache>
                <c:formatCode>General</c:formatCode>
                <c:ptCount val="12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678.5</c:v>
                </c:pt>
              </c:numCache>
            </c:numRef>
          </c:xVal>
          <c:yVal>
            <c:numRef>
              <c:f>Inactive!$M$21:$M$32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FE-4D73-9EA5-B3FB79B1C799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Inactive!$F$21:$F$32</c:f>
              <c:numCache>
                <c:formatCode>General</c:formatCode>
                <c:ptCount val="12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678.5</c:v>
                </c:pt>
              </c:numCache>
            </c:numRef>
          </c:xVal>
          <c:yVal>
            <c:numRef>
              <c:f>Inactive!$N$21:$N$32</c:f>
              <c:numCache>
                <c:formatCode>General</c:formatCode>
                <c:ptCount val="12"/>
                <c:pt idx="0">
                  <c:v>-0.59030741119931918</c:v>
                </c:pt>
                <c:pt idx="1">
                  <c:v>-0.15026173844671575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FE-4D73-9EA5-B3FB79B1C799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Inactive!$F$21:$F$32</c:f>
              <c:numCache>
                <c:formatCode>General</c:formatCode>
                <c:ptCount val="12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678.5</c:v>
                </c:pt>
              </c:numCache>
            </c:numRef>
          </c:xVal>
          <c:yVal>
            <c:numRef>
              <c:f>Inactive!$O$21:$O$32</c:f>
              <c:numCache>
                <c:formatCode>General</c:formatCode>
                <c:ptCount val="12"/>
                <c:pt idx="0">
                  <c:v>-0.10199392998244708</c:v>
                </c:pt>
                <c:pt idx="1">
                  <c:v>-7.1373511950274832E-2</c:v>
                </c:pt>
                <c:pt idx="2">
                  <c:v>-6.137726408314486E-2</c:v>
                </c:pt>
                <c:pt idx="3">
                  <c:v>-6.0556087323127866E-2</c:v>
                </c:pt>
                <c:pt idx="4">
                  <c:v>-6.0516607671203967E-2</c:v>
                </c:pt>
                <c:pt idx="5">
                  <c:v>-6.0421856506586623E-2</c:v>
                </c:pt>
                <c:pt idx="6">
                  <c:v>-6.0413960576201846E-2</c:v>
                </c:pt>
                <c:pt idx="7">
                  <c:v>-6.0192874525428035E-2</c:v>
                </c:pt>
                <c:pt idx="8">
                  <c:v>-5.9963892544269454E-2</c:v>
                </c:pt>
                <c:pt idx="9">
                  <c:v>-5.9884933240421663E-2</c:v>
                </c:pt>
                <c:pt idx="10">
                  <c:v>-5.9529616373106616E-2</c:v>
                </c:pt>
                <c:pt idx="11">
                  <c:v>-5.0662486551000009E-2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FE-4D73-9EA5-B3FB79B1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4685008"/>
        <c:axId val="1"/>
      </c:scatterChart>
      <c:valAx>
        <c:axId val="744685008"/>
        <c:scaling>
          <c:orientation val="minMax"/>
          <c:min val="-2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3410734860332"/>
              <c:y val="0.86068111455108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466493600868195E-2"/>
              <c:y val="0.411764705882352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46850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61221309084998"/>
          <c:y val="0.91331269349845201"/>
          <c:w val="0.81056619288709109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3449-0680:  Min I (hel) = 53024.76 + 0.56041 E</a:t>
            </a:r>
          </a:p>
        </c:rich>
      </c:tx>
      <c:layout>
        <c:manualLayout>
          <c:xMode val="edge"/>
          <c:yMode val="edge"/>
          <c:x val="0.1280148423005566"/>
          <c:y val="3.03951367781155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78293135436"/>
          <c:y val="0.23100303951367782"/>
          <c:w val="0.79406307977736545"/>
          <c:h val="0.55015197568389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Inactive!$H$20:$H$20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Inactive!$F$21:$F$32</c:f>
              <c:numCache>
                <c:formatCode>General</c:formatCode>
                <c:ptCount val="12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678.5</c:v>
                </c:pt>
              </c:numCache>
            </c:numRef>
          </c:xVal>
          <c:yVal>
            <c:numRef>
              <c:f>Inactive!$H$21:$H$32</c:f>
              <c:numCache>
                <c:formatCode>General</c:formatCode>
                <c:ptCount val="12"/>
                <c:pt idx="2">
                  <c:v>0</c:v>
                </c:pt>
                <c:pt idx="3">
                  <c:v>1.8498594625270925E-2</c:v>
                </c:pt>
                <c:pt idx="5">
                  <c:v>1.476680416817544E-2</c:v>
                </c:pt>
                <c:pt idx="6">
                  <c:v>1.4319927096948959E-2</c:v>
                </c:pt>
                <c:pt idx="7">
                  <c:v>1.7988357634749264E-2</c:v>
                </c:pt>
                <c:pt idx="8">
                  <c:v>2.0592773442331236E-2</c:v>
                </c:pt>
                <c:pt idx="9">
                  <c:v>2.4765936010226142E-2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7F-43E5-8DF5-7426D44B4837}"/>
            </c:ext>
          </c:extLst>
        </c:ser>
        <c:ser>
          <c:idx val="1"/>
          <c:order val="1"/>
          <c:tx>
            <c:strRef>
              <c:f>Inactive!$I$20:$I$20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Inactive!$F$21:$F$32</c:f>
              <c:numCache>
                <c:formatCode>General</c:formatCode>
                <c:ptCount val="12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678.5</c:v>
                </c:pt>
              </c:numCache>
            </c:numRef>
          </c:xVal>
          <c:yVal>
            <c:numRef>
              <c:f>Inactive!$I$21:$I$32</c:f>
              <c:numCache>
                <c:formatCode>General</c:formatCode>
                <c:ptCount val="12"/>
                <c:pt idx="4">
                  <c:v>1.5664873215428088E-2</c:v>
                </c:pt>
                <c:pt idx="10">
                  <c:v>2.8021837904816493E-2</c:v>
                </c:pt>
                <c:pt idx="11">
                  <c:v>-0.12375199125381187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7F-43E5-8DF5-7426D44B4837}"/>
            </c:ext>
          </c:extLst>
        </c:ser>
        <c:ser>
          <c:idx val="2"/>
          <c:order val="2"/>
          <c:tx>
            <c:strRef>
              <c:f>Inactive!$J$20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Inactive!$F$21:$F$32</c:f>
              <c:numCache>
                <c:formatCode>General</c:formatCode>
                <c:ptCount val="12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678.5</c:v>
                </c:pt>
              </c:numCache>
            </c:numRef>
          </c:xVal>
          <c:yVal>
            <c:numRef>
              <c:f>Inactive!$J$21:$J$32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7F-43E5-8DF5-7426D44B4837}"/>
            </c:ext>
          </c:extLst>
        </c:ser>
        <c:ser>
          <c:idx val="3"/>
          <c:order val="3"/>
          <c:tx>
            <c:strRef>
              <c:f>Inactive!$K$20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Inactive!$F$21:$F$32</c:f>
              <c:numCache>
                <c:formatCode>General</c:formatCode>
                <c:ptCount val="12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678.5</c:v>
                </c:pt>
              </c:numCache>
            </c:numRef>
          </c:xVal>
          <c:yVal>
            <c:numRef>
              <c:f>Inactive!$K$21:$K$32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7F-43E5-8DF5-7426D44B4837}"/>
            </c:ext>
          </c:extLst>
        </c:ser>
        <c:ser>
          <c:idx val="4"/>
          <c:order val="4"/>
          <c:tx>
            <c:strRef>
              <c:f>Inactive!$L$20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Inactive!$F$21:$F$32</c:f>
              <c:numCache>
                <c:formatCode>General</c:formatCode>
                <c:ptCount val="12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678.5</c:v>
                </c:pt>
              </c:numCache>
            </c:numRef>
          </c:xVal>
          <c:yVal>
            <c:numRef>
              <c:f>Inactive!$L$21:$L$32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7F-43E5-8DF5-7426D44B4837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Inactive!$F$21:$F$32</c:f>
              <c:numCache>
                <c:formatCode>General</c:formatCode>
                <c:ptCount val="12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678.5</c:v>
                </c:pt>
              </c:numCache>
            </c:numRef>
          </c:xVal>
          <c:yVal>
            <c:numRef>
              <c:f>Inactive!$M$21:$M$32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7F-43E5-8DF5-7426D44B4837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Inactive!$F$21:$F$32</c:f>
              <c:numCache>
                <c:formatCode>General</c:formatCode>
                <c:ptCount val="12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678.5</c:v>
                </c:pt>
              </c:numCache>
            </c:numRef>
          </c:xVal>
          <c:yVal>
            <c:numRef>
              <c:f>Inactive!$N$21:$N$32</c:f>
              <c:numCache>
                <c:formatCode>General</c:formatCode>
                <c:ptCount val="12"/>
                <c:pt idx="0">
                  <c:v>-0.59030741119931918</c:v>
                </c:pt>
                <c:pt idx="1">
                  <c:v>-0.15026173844671575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7F-43E5-8DF5-7426D44B4837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Inactive!$F$21:$F$32</c:f>
              <c:numCache>
                <c:formatCode>General</c:formatCode>
                <c:ptCount val="12"/>
                <c:pt idx="0">
                  <c:v>-2572</c:v>
                </c:pt>
                <c:pt idx="1">
                  <c:v>-633</c:v>
                </c:pt>
                <c:pt idx="2">
                  <c:v>0</c:v>
                </c:pt>
                <c:pt idx="3">
                  <c:v>52</c:v>
                </c:pt>
                <c:pt idx="4">
                  <c:v>54.5</c:v>
                </c:pt>
                <c:pt idx="5">
                  <c:v>60.5</c:v>
                </c:pt>
                <c:pt idx="6">
                  <c:v>61</c:v>
                </c:pt>
                <c:pt idx="7">
                  <c:v>75</c:v>
                </c:pt>
                <c:pt idx="8">
                  <c:v>89.5</c:v>
                </c:pt>
                <c:pt idx="9">
                  <c:v>94.5</c:v>
                </c:pt>
                <c:pt idx="10">
                  <c:v>117</c:v>
                </c:pt>
                <c:pt idx="11">
                  <c:v>678.5</c:v>
                </c:pt>
              </c:numCache>
            </c:numRef>
          </c:xVal>
          <c:yVal>
            <c:numRef>
              <c:f>Inactive!$O$21:$O$32</c:f>
              <c:numCache>
                <c:formatCode>General</c:formatCode>
                <c:ptCount val="12"/>
                <c:pt idx="0">
                  <c:v>-0.10199392998244708</c:v>
                </c:pt>
                <c:pt idx="1">
                  <c:v>-7.1373511950274832E-2</c:v>
                </c:pt>
                <c:pt idx="2">
                  <c:v>-6.137726408314486E-2</c:v>
                </c:pt>
                <c:pt idx="3">
                  <c:v>-6.0556087323127866E-2</c:v>
                </c:pt>
                <c:pt idx="4">
                  <c:v>-6.0516607671203967E-2</c:v>
                </c:pt>
                <c:pt idx="5">
                  <c:v>-6.0421856506586623E-2</c:v>
                </c:pt>
                <c:pt idx="6">
                  <c:v>-6.0413960576201846E-2</c:v>
                </c:pt>
                <c:pt idx="7">
                  <c:v>-6.0192874525428035E-2</c:v>
                </c:pt>
                <c:pt idx="8">
                  <c:v>-5.9963892544269454E-2</c:v>
                </c:pt>
                <c:pt idx="9">
                  <c:v>-5.9884933240421663E-2</c:v>
                </c:pt>
                <c:pt idx="10">
                  <c:v>-5.9529616373106616E-2</c:v>
                </c:pt>
                <c:pt idx="11">
                  <c:v>-5.0662486551000009E-2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7F-43E5-8DF5-7426D44B4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705968"/>
        <c:axId val="1"/>
      </c:scatterChart>
      <c:valAx>
        <c:axId val="719705968"/>
        <c:scaling>
          <c:orientation val="minMax"/>
          <c:max val="1000"/>
          <c:min val="-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91465677179959"/>
              <c:y val="0.863221884498480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513914656771803E-2"/>
              <c:y val="0.413373860182370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7059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764378478664197E-3"/>
          <c:y val="0.91489361702127658"/>
          <c:w val="0.82560296846011128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123824</xdr:colOff>
      <xdr:row>0</xdr:row>
      <xdr:rowOff>0</xdr:rowOff>
    </xdr:from>
    <xdr:to>
      <xdr:col>18</xdr:col>
      <xdr:colOff>0</xdr:colOff>
      <xdr:row>19</xdr:row>
      <xdr:rowOff>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A0976A89-191F-291A-92D0-4AA591FB0E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38100</xdr:colOff>
      <xdr:row>0</xdr:row>
      <xdr:rowOff>0</xdr:rowOff>
    </xdr:from>
    <xdr:to>
      <xdr:col>32</xdr:col>
      <xdr:colOff>200026</xdr:colOff>
      <xdr:row>18</xdr:row>
      <xdr:rowOff>133350</xdr:rowOff>
    </xdr:to>
    <xdr:graphicFrame macro="">
      <xdr:nvGraphicFramePr>
        <xdr:cNvPr id="2052" name="Chart 2">
          <a:extLst>
            <a:ext uri="{FF2B5EF4-FFF2-40B4-BE49-F238E27FC236}">
              <a16:creationId xmlns:a16="http://schemas.microsoft.com/office/drawing/2014/main" id="{E9548432-A159-8E96-F2C0-09A271852B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0</xdr:row>
      <xdr:rowOff>0</xdr:rowOff>
    </xdr:from>
    <xdr:to>
      <xdr:col>13</xdr:col>
      <xdr:colOff>342900</xdr:colOff>
      <xdr:row>18</xdr:row>
      <xdr:rowOff>66675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3426262-412B-C7F9-3A91-1C6C62F52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504825</xdr:colOff>
      <xdr:row>38</xdr:row>
      <xdr:rowOff>28575</xdr:rowOff>
    </xdr:from>
    <xdr:to>
      <xdr:col>16</xdr:col>
      <xdr:colOff>352425</xdr:colOff>
      <xdr:row>57</xdr:row>
      <xdr:rowOff>85725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D4B385FA-675B-79B8-66FA-305E7D00C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:F12"/>
    </sheetView>
  </sheetViews>
  <sheetFormatPr defaultColWidth="10.28515625" defaultRowHeight="12.75" x14ac:dyDescent="0.2"/>
  <cols>
    <col min="1" max="1" width="14.42578125" style="1" customWidth="1"/>
    <col min="2" max="2" width="5.140625" style="2" customWidth="1"/>
    <col min="3" max="3" width="13.4257812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3" width="8.5703125" style="1" customWidth="1"/>
    <col min="14" max="16" width="6.5703125" style="1" customWidth="1"/>
    <col min="17" max="18" width="11.5703125" style="1" customWidth="1"/>
    <col min="19" max="19" width="6.5703125" style="1" customWidth="1"/>
    <col min="20" max="20" width="9.42578125" style="1" customWidth="1"/>
    <col min="21" max="33" width="6.5703125" style="1" customWidth="1"/>
    <col min="34" max="16384" width="10.28515625" style="1"/>
  </cols>
  <sheetData>
    <row r="1" spans="1:37" s="38" customFormat="1" ht="20.25" x14ac:dyDescent="0.2">
      <c r="A1" s="77" t="s">
        <v>46</v>
      </c>
      <c r="B1" s="39"/>
      <c r="D1" s="38" t="s">
        <v>47</v>
      </c>
      <c r="N1" s="38">
        <v>1.3982000000032713</v>
      </c>
    </row>
    <row r="2" spans="1:37" s="38" customFormat="1" ht="12.75" customHeight="1" x14ac:dyDescent="0.2">
      <c r="B2" s="39"/>
      <c r="N2" s="38">
        <v>0.5</v>
      </c>
      <c r="O2" s="38">
        <v>1</v>
      </c>
      <c r="P2" s="38">
        <v>1.5</v>
      </c>
      <c r="Q2" s="38">
        <v>2</v>
      </c>
      <c r="S2" s="38">
        <v>2.5</v>
      </c>
      <c r="T2" s="38">
        <v>3</v>
      </c>
      <c r="U2" s="38">
        <v>3.5</v>
      </c>
      <c r="V2" s="38">
        <v>4</v>
      </c>
      <c r="W2" s="38">
        <v>4.5</v>
      </c>
      <c r="X2" s="38">
        <v>5</v>
      </c>
      <c r="Y2" s="38">
        <v>5.5</v>
      </c>
      <c r="Z2" s="38">
        <v>6</v>
      </c>
      <c r="AA2" s="38">
        <v>6.5</v>
      </c>
      <c r="AB2" s="38">
        <v>7</v>
      </c>
      <c r="AC2" s="38">
        <v>7.5</v>
      </c>
      <c r="AD2" s="38">
        <v>8</v>
      </c>
      <c r="AE2" s="38">
        <v>8.5</v>
      </c>
      <c r="AF2" s="38">
        <v>9</v>
      </c>
      <c r="AG2" s="38">
        <v>9.5</v>
      </c>
    </row>
    <row r="3" spans="1:37" s="38" customFormat="1" ht="12.75" customHeight="1" x14ac:dyDescent="0.2">
      <c r="B3" s="40" t="s">
        <v>48</v>
      </c>
      <c r="N3" s="38">
        <v>2.7964000000065425</v>
      </c>
      <c r="O3" s="38">
        <v>1.3982000000032713</v>
      </c>
      <c r="P3" s="38">
        <v>0.93213333333551418</v>
      </c>
      <c r="Q3" s="38">
        <v>0.69910000000163564</v>
      </c>
      <c r="S3" s="41">
        <v>0.55928000000130851</v>
      </c>
      <c r="T3" s="38">
        <v>0.46606666666775709</v>
      </c>
      <c r="U3" s="42">
        <v>0.39948571428664892</v>
      </c>
      <c r="V3" s="38">
        <v>0.34955000000081782</v>
      </c>
      <c r="W3" s="38">
        <v>0.31071111111183808</v>
      </c>
      <c r="X3" s="38">
        <v>0.27964000000065425</v>
      </c>
      <c r="Y3" s="38">
        <v>0.25421818181877659</v>
      </c>
      <c r="Z3" s="38">
        <v>0.23303333333387855</v>
      </c>
      <c r="AA3" s="38">
        <v>0.21510769230819557</v>
      </c>
      <c r="AB3" s="38">
        <v>0.19974285714332446</v>
      </c>
      <c r="AC3" s="38">
        <v>0.18642666666710284</v>
      </c>
      <c r="AD3" s="38">
        <v>0.17477500000040891</v>
      </c>
      <c r="AE3" s="38">
        <v>0.16449411764744368</v>
      </c>
      <c r="AF3" s="38">
        <v>0.15535555555591904</v>
      </c>
      <c r="AG3" s="38">
        <v>0.14717894736876538</v>
      </c>
    </row>
    <row r="4" spans="1:37" s="38" customFormat="1" ht="12.75" customHeight="1" x14ac:dyDescent="0.2">
      <c r="A4" s="41" t="s">
        <v>1</v>
      </c>
      <c r="B4" s="39"/>
      <c r="C4" s="43" t="s">
        <v>49</v>
      </c>
      <c r="D4" s="44" t="s">
        <v>49</v>
      </c>
      <c r="N4" s="45">
        <v>6.5763291927577391E-2</v>
      </c>
      <c r="O4" s="46">
        <v>5.2857045394828779E-2</v>
      </c>
      <c r="P4" s="46">
        <v>1.796284796642135E-2</v>
      </c>
      <c r="Q4" s="46">
        <v>1.0449287063001748E-2</v>
      </c>
      <c r="R4" s="46"/>
      <c r="S4" s="47">
        <v>6.0744732656062171E-3</v>
      </c>
      <c r="T4" s="46">
        <v>3.4936953195851628E-3</v>
      </c>
      <c r="U4" s="46">
        <v>4.3750241870490483E-4</v>
      </c>
      <c r="V4" s="46">
        <v>5.8143523778649128E-4</v>
      </c>
      <c r="W4" s="46">
        <v>1.3636040472967642E-3</v>
      </c>
      <c r="X4" s="46">
        <v>3.8393560299745362E-3</v>
      </c>
      <c r="Y4" s="46">
        <v>1.3022957702365954E-3</v>
      </c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</row>
    <row r="5" spans="1:37" s="38" customFormat="1" ht="12.75" customHeight="1" x14ac:dyDescent="0.2">
      <c r="A5" s="48" t="s">
        <v>50</v>
      </c>
      <c r="C5" s="49">
        <v>-9.5</v>
      </c>
      <c r="D5" s="38" t="s">
        <v>51</v>
      </c>
      <c r="T5" s="38" t="s">
        <v>3</v>
      </c>
      <c r="U5" s="38" t="s">
        <v>3</v>
      </c>
      <c r="V5" s="38" t="s">
        <v>3</v>
      </c>
    </row>
    <row r="6" spans="1:37" s="38" customFormat="1" ht="12.75" customHeight="1" x14ac:dyDescent="0.2">
      <c r="A6" s="41" t="s">
        <v>4</v>
      </c>
      <c r="B6" s="39"/>
    </row>
    <row r="7" spans="1:37" s="38" customFormat="1" ht="12.75" customHeight="1" x14ac:dyDescent="0.2">
      <c r="A7" s="38" t="s">
        <v>5</v>
      </c>
      <c r="B7" s="39"/>
      <c r="C7" s="38">
        <v>53024.76</v>
      </c>
    </row>
    <row r="8" spans="1:37" s="38" customFormat="1" ht="12.75" customHeight="1" x14ac:dyDescent="0.2">
      <c r="A8" s="38" t="s">
        <v>6</v>
      </c>
      <c r="B8" s="39"/>
      <c r="C8" s="41">
        <v>0.560643</v>
      </c>
    </row>
    <row r="9" spans="1:37" s="38" customFormat="1" ht="12.75" customHeight="1" x14ac:dyDescent="0.2">
      <c r="A9" s="50" t="s">
        <v>52</v>
      </c>
      <c r="B9" s="51">
        <v>21</v>
      </c>
      <c r="C9" s="52" t="str">
        <f>"F"&amp;B9</f>
        <v>F21</v>
      </c>
      <c r="D9" s="53" t="str">
        <f>"G"&amp;B9</f>
        <v>G21</v>
      </c>
    </row>
    <row r="10" spans="1:37" s="38" customFormat="1" ht="12.75" customHeight="1" x14ac:dyDescent="0.2">
      <c r="C10" s="54" t="s">
        <v>7</v>
      </c>
      <c r="D10" s="54" t="s">
        <v>8</v>
      </c>
    </row>
    <row r="11" spans="1:37" s="38" customFormat="1" ht="12.75" customHeight="1" x14ac:dyDescent="0.2">
      <c r="A11" s="38" t="s">
        <v>9</v>
      </c>
      <c r="C11" s="53">
        <f ca="1">INTERCEPT(INDIRECT($D$9):G992,INDIRECT($C$9):F992)</f>
        <v>4.9708881305883415E-4</v>
      </c>
      <c r="D11" s="39"/>
    </row>
    <row r="12" spans="1:37" s="38" customFormat="1" ht="12.75" customHeight="1" x14ac:dyDescent="0.2">
      <c r="A12" s="38" t="s">
        <v>10</v>
      </c>
      <c r="C12" s="53">
        <f ca="1">SLOPE(INDIRECT($D$9):G992,INDIRECT($C$9):F992)</f>
        <v>-6.9727375534766971E-7</v>
      </c>
      <c r="D12" s="39"/>
    </row>
    <row r="13" spans="1:37" s="38" customFormat="1" ht="12.75" customHeight="1" x14ac:dyDescent="0.2">
      <c r="A13" s="38" t="s">
        <v>11</v>
      </c>
      <c r="C13" s="39" t="s">
        <v>2</v>
      </c>
    </row>
    <row r="14" spans="1:37" s="38" customFormat="1" ht="12.75" customHeight="1" x14ac:dyDescent="0.2"/>
    <row r="15" spans="1:37" s="38" customFormat="1" ht="12.75" customHeight="1" x14ac:dyDescent="0.2">
      <c r="A15" s="41" t="s">
        <v>13</v>
      </c>
      <c r="C15" s="55">
        <f ca="1">(C7+C11)+(C8+C12)*INT(MAX(F21:F3533))</f>
        <v>58924.96009097981</v>
      </c>
      <c r="E15" s="50" t="s">
        <v>53</v>
      </c>
      <c r="F15" s="49">
        <v>1</v>
      </c>
    </row>
    <row r="16" spans="1:37" s="38" customFormat="1" ht="12.75" customHeight="1" x14ac:dyDescent="0.2">
      <c r="A16" s="41" t="s">
        <v>14</v>
      </c>
      <c r="C16" s="55">
        <f ca="1">+C8+C12</f>
        <v>0.5606423027262446</v>
      </c>
      <c r="E16" s="50" t="s">
        <v>54</v>
      </c>
      <c r="F16" s="53">
        <f ca="1">NOW()+15018.5+$C$5/24</f>
        <v>60378.728308796293</v>
      </c>
    </row>
    <row r="17" spans="1:20" s="38" customFormat="1" ht="12.75" customHeight="1" x14ac:dyDescent="0.2">
      <c r="A17" s="50" t="s">
        <v>55</v>
      </c>
      <c r="C17" s="38">
        <f>COUNT(C21:C2191)</f>
        <v>20</v>
      </c>
      <c r="E17" s="50" t="s">
        <v>56</v>
      </c>
      <c r="F17" s="53">
        <f ca="1">ROUND(2*(F16-$C$7)/$C$8,0)/2+F15</f>
        <v>13118</v>
      </c>
    </row>
    <row r="18" spans="1:20" s="38" customFormat="1" ht="12.75" customHeight="1" x14ac:dyDescent="0.2">
      <c r="A18" s="41" t="s">
        <v>15</v>
      </c>
      <c r="C18" s="56">
        <f ca="1">+C15</f>
        <v>58924.96009097981</v>
      </c>
      <c r="D18" s="57">
        <f ca="1">+C16</f>
        <v>0.5606423027262446</v>
      </c>
      <c r="E18" s="50" t="s">
        <v>57</v>
      </c>
      <c r="F18" s="53">
        <f ca="1">ROUND(2*(F16-$C$15)/$C$16,0)/2+F15</f>
        <v>2594</v>
      </c>
    </row>
    <row r="19" spans="1:20" s="38" customFormat="1" ht="12.75" customHeight="1" x14ac:dyDescent="0.2">
      <c r="B19" s="39"/>
      <c r="E19" s="50" t="s">
        <v>58</v>
      </c>
      <c r="F19" s="58">
        <f ca="1">+$C$15+$C$16*F18-15018.5-$C$5/24</f>
        <v>45361.162057585025</v>
      </c>
    </row>
    <row r="20" spans="1:20" s="38" customFormat="1" ht="12.75" customHeight="1" x14ac:dyDescent="0.2">
      <c r="A20" s="54" t="s">
        <v>16</v>
      </c>
      <c r="B20" s="54" t="s">
        <v>17</v>
      </c>
      <c r="C20" s="54" t="s">
        <v>18</v>
      </c>
      <c r="D20" s="54" t="s">
        <v>19</v>
      </c>
      <c r="E20" s="54" t="s">
        <v>20</v>
      </c>
      <c r="F20" s="54" t="s">
        <v>21</v>
      </c>
      <c r="G20" s="54" t="s">
        <v>22</v>
      </c>
      <c r="H20" s="59" t="s">
        <v>59</v>
      </c>
      <c r="I20" s="59" t="s">
        <v>60</v>
      </c>
      <c r="J20" s="59" t="s">
        <v>61</v>
      </c>
      <c r="K20" s="59" t="s">
        <v>62</v>
      </c>
      <c r="L20" s="59" t="s">
        <v>27</v>
      </c>
      <c r="M20" s="59" t="s">
        <v>28</v>
      </c>
      <c r="N20" s="59" t="s">
        <v>29</v>
      </c>
      <c r="O20" s="59" t="s">
        <v>30</v>
      </c>
      <c r="P20" s="59" t="s">
        <v>31</v>
      </c>
      <c r="Q20" s="54" t="s">
        <v>32</v>
      </c>
      <c r="R20" s="60"/>
      <c r="T20" s="61" t="s">
        <v>33</v>
      </c>
    </row>
    <row r="21" spans="1:20" s="38" customFormat="1" ht="12.75" customHeight="1" x14ac:dyDescent="0.2">
      <c r="A21" s="38" t="s">
        <v>34</v>
      </c>
      <c r="B21" s="39" t="s">
        <v>35</v>
      </c>
      <c r="C21" s="62">
        <v>51582.786200000002</v>
      </c>
      <c r="D21" s="62" t="s">
        <v>2</v>
      </c>
      <c r="E21" s="38">
        <f t="shared" ref="E21:E36" si="0">+(C21-C$7)/C$8</f>
        <v>-2572.0000071346644</v>
      </c>
      <c r="F21" s="38">
        <f t="shared" ref="F21:F39" si="1">ROUND(2*E21,0)/2</f>
        <v>-2572</v>
      </c>
      <c r="G21" s="38">
        <f>+C21-(C$7+F21*C$8)</f>
        <v>-4.0000013541430235E-6</v>
      </c>
      <c r="H21" s="63">
        <f>+G21</f>
        <v>-4.0000013541430235E-6</v>
      </c>
      <c r="O21" s="38">
        <f t="shared" ref="O21:O36" ca="1" si="2">+C$11+C$12*F21</f>
        <v>2.2904769118130405E-3</v>
      </c>
      <c r="Q21" s="64">
        <f t="shared" ref="Q21:Q36" si="3">+C21-15018.5</f>
        <v>36564.286200000002</v>
      </c>
      <c r="R21" s="65"/>
    </row>
    <row r="22" spans="1:20" s="38" customFormat="1" ht="12.75" customHeight="1" x14ac:dyDescent="0.2">
      <c r="A22" s="66" t="s">
        <v>36</v>
      </c>
      <c r="B22" s="39"/>
      <c r="C22" s="62">
        <v>52669.868000000002</v>
      </c>
      <c r="D22" s="62">
        <v>3.0000000000000001E-3</v>
      </c>
      <c r="E22" s="38">
        <f t="shared" si="0"/>
        <v>-633.0088844416141</v>
      </c>
      <c r="F22" s="38">
        <f t="shared" si="1"/>
        <v>-633</v>
      </c>
      <c r="G22" s="38">
        <f>+C22-(C$7+F22*C$8)</f>
        <v>-4.9809999982244335E-3</v>
      </c>
      <c r="K22" s="63">
        <f>+G22</f>
        <v>-4.9809999982244335E-3</v>
      </c>
      <c r="O22" s="38">
        <f t="shared" ca="1" si="2"/>
        <v>9.38463100193909E-4</v>
      </c>
      <c r="Q22" s="64">
        <f t="shared" si="3"/>
        <v>37651.368000000002</v>
      </c>
      <c r="R22" s="65"/>
    </row>
    <row r="23" spans="1:20" s="38" customFormat="1" ht="12.75" customHeight="1" x14ac:dyDescent="0.2">
      <c r="A23" s="41" t="s">
        <v>63</v>
      </c>
      <c r="B23" s="39" t="s">
        <v>35</v>
      </c>
      <c r="C23" s="67">
        <v>53024.76</v>
      </c>
      <c r="D23" s="68">
        <v>0.01</v>
      </c>
      <c r="E23" s="38">
        <f t="shared" si="0"/>
        <v>0</v>
      </c>
      <c r="F23" s="38">
        <f t="shared" si="1"/>
        <v>0</v>
      </c>
      <c r="H23" s="63"/>
      <c r="K23" s="63">
        <f t="shared" ref="K23:K39" si="4">+G23</f>
        <v>0</v>
      </c>
      <c r="O23" s="38">
        <f t="shared" ca="1" si="2"/>
        <v>4.9708881305883415E-4</v>
      </c>
      <c r="Q23" s="64">
        <f t="shared" si="3"/>
        <v>38006.26</v>
      </c>
      <c r="R23" s="65"/>
    </row>
    <row r="24" spans="1:20" s="38" customFormat="1" ht="12.75" customHeight="1" x14ac:dyDescent="0.2">
      <c r="A24" s="41" t="s">
        <v>63</v>
      </c>
      <c r="B24" s="39" t="s">
        <v>35</v>
      </c>
      <c r="C24" s="67">
        <v>53053.919999999998</v>
      </c>
      <c r="D24" s="68">
        <v>0.01</v>
      </c>
      <c r="E24" s="38">
        <f t="shared" si="0"/>
        <v>52.011707985288709</v>
      </c>
      <c r="F24" s="38">
        <f t="shared" si="1"/>
        <v>52</v>
      </c>
      <c r="G24" s="38">
        <f t="shared" ref="G24:G36" si="5">+C24-(C$7+F24*C$8)</f>
        <v>6.5639999957056716E-3</v>
      </c>
      <c r="K24" s="63">
        <f t="shared" si="4"/>
        <v>6.5639999957056716E-3</v>
      </c>
      <c r="O24" s="38">
        <f t="shared" ca="1" si="2"/>
        <v>4.6083057778075533E-4</v>
      </c>
      <c r="Q24" s="64">
        <f t="shared" si="3"/>
        <v>38035.42</v>
      </c>
      <c r="R24" s="65"/>
      <c r="S24" s="38">
        <f ca="1">+(O24-H24)^2</f>
        <v>2.1236482141774479E-7</v>
      </c>
      <c r="T24" s="38">
        <f>+C24-C23</f>
        <v>29.159999999996217</v>
      </c>
    </row>
    <row r="25" spans="1:20" s="38" customFormat="1" ht="12.75" customHeight="1" x14ac:dyDescent="0.2">
      <c r="A25" s="42" t="s">
        <v>38</v>
      </c>
      <c r="B25" s="39" t="s">
        <v>39</v>
      </c>
      <c r="C25" s="67">
        <v>53055.318200000002</v>
      </c>
      <c r="D25" s="68">
        <v>5.0000000000000001E-4</v>
      </c>
      <c r="E25" s="38">
        <f t="shared" si="0"/>
        <v>54.505630142531857</v>
      </c>
      <c r="F25" s="38">
        <f t="shared" si="1"/>
        <v>54.5</v>
      </c>
      <c r="G25" s="38">
        <f t="shared" si="5"/>
        <v>3.1565000026603229E-3</v>
      </c>
      <c r="K25" s="63">
        <f t="shared" si="4"/>
        <v>3.1565000026603229E-3</v>
      </c>
      <c r="O25" s="38">
        <f t="shared" ca="1" si="2"/>
        <v>4.5908739339238616E-4</v>
      </c>
      <c r="Q25" s="64">
        <f t="shared" si="3"/>
        <v>38036.818200000002</v>
      </c>
      <c r="R25" s="65"/>
      <c r="S25" s="38">
        <f ca="1">+(O25-H25)^2</f>
        <v>2.1076123477181554E-7</v>
      </c>
      <c r="T25" s="38">
        <f>+C25-C24</f>
        <v>1.3982000000032713</v>
      </c>
    </row>
    <row r="26" spans="1:20" s="38" customFormat="1" ht="12.75" customHeight="1" x14ac:dyDescent="0.2">
      <c r="A26" s="69" t="s">
        <v>63</v>
      </c>
      <c r="B26" s="39" t="s">
        <v>39</v>
      </c>
      <c r="C26" s="70">
        <v>53058.679782862346</v>
      </c>
      <c r="D26" s="68">
        <v>1E-3</v>
      </c>
      <c r="E26" s="38">
        <f t="shared" si="0"/>
        <v>60.501572056270582</v>
      </c>
      <c r="F26" s="38">
        <f t="shared" si="1"/>
        <v>60.5</v>
      </c>
      <c r="G26" s="38">
        <f t="shared" si="5"/>
        <v>8.8136234262492508E-4</v>
      </c>
      <c r="H26" s="63"/>
      <c r="K26" s="63">
        <f t="shared" si="4"/>
        <v>8.8136234262492508E-4</v>
      </c>
      <c r="O26" s="38">
        <f t="shared" ca="1" si="2"/>
        <v>4.5490375086030014E-4</v>
      </c>
      <c r="Q26" s="64">
        <f t="shared" si="3"/>
        <v>38040.179782862346</v>
      </c>
      <c r="R26" s="65"/>
      <c r="S26" s="38">
        <f ca="1">+(O26-H26)^2</f>
        <v>2.0693742254677003E-7</v>
      </c>
      <c r="T26" s="38">
        <f>+C26-C25</f>
        <v>3.3615828623442212</v>
      </c>
    </row>
    <row r="27" spans="1:20" s="38" customFormat="1" ht="12.75" customHeight="1" x14ac:dyDescent="0.2">
      <c r="A27" s="69" t="s">
        <v>63</v>
      </c>
      <c r="B27" s="39" t="s">
        <v>35</v>
      </c>
      <c r="C27" s="71">
        <v>53058.959542729557</v>
      </c>
      <c r="D27" s="72">
        <v>1E-3</v>
      </c>
      <c r="E27" s="63">
        <f t="shared" si="0"/>
        <v>61.000570290818054</v>
      </c>
      <c r="F27" s="63">
        <f t="shared" si="1"/>
        <v>61</v>
      </c>
      <c r="G27" s="63">
        <f t="shared" si="5"/>
        <v>3.1972955184755847E-4</v>
      </c>
      <c r="H27" s="63"/>
      <c r="K27" s="63">
        <f t="shared" si="4"/>
        <v>3.1972955184755847E-4</v>
      </c>
      <c r="O27" s="38">
        <f t="shared" ca="1" si="2"/>
        <v>4.5455511398262628E-4</v>
      </c>
      <c r="Q27" s="64">
        <f t="shared" si="3"/>
        <v>38040.459542729557</v>
      </c>
      <c r="R27" s="65"/>
      <c r="S27" s="38">
        <f ca="1">+(O27-H27)^2</f>
        <v>2.0662035164775837E-7</v>
      </c>
      <c r="T27" s="41">
        <f>+C27-C26</f>
        <v>0.27975986721139634</v>
      </c>
    </row>
    <row r="28" spans="1:20" s="38" customFormat="1" ht="12.75" customHeight="1" x14ac:dyDescent="0.2">
      <c r="A28" s="69" t="s">
        <v>63</v>
      </c>
      <c r="B28" s="39" t="s">
        <v>35</v>
      </c>
      <c r="C28" s="70">
        <v>53066.809000000001</v>
      </c>
      <c r="D28" s="68">
        <v>1E-3</v>
      </c>
      <c r="E28" s="38">
        <f t="shared" si="0"/>
        <v>75.001382341345689</v>
      </c>
      <c r="F28" s="38">
        <f t="shared" si="1"/>
        <v>75</v>
      </c>
      <c r="G28" s="38">
        <f t="shared" si="5"/>
        <v>7.7500000043073669E-4</v>
      </c>
      <c r="H28" s="63"/>
      <c r="K28" s="63">
        <f t="shared" si="4"/>
        <v>7.7500000043073669E-4</v>
      </c>
      <c r="O28" s="38">
        <f t="shared" ca="1" si="2"/>
        <v>4.4479328140775893E-4</v>
      </c>
      <c r="Q28" s="64">
        <f t="shared" si="3"/>
        <v>38048.309000000001</v>
      </c>
      <c r="R28" s="65"/>
      <c r="S28" s="38">
        <f ca="1">+(O28-H28)^2</f>
        <v>1.9784106318548184E-7</v>
      </c>
      <c r="T28" s="38">
        <f>+C28-C27</f>
        <v>7.8494572704439634</v>
      </c>
    </row>
    <row r="29" spans="1:20" s="38" customFormat="1" ht="12.75" customHeight="1" x14ac:dyDescent="0.2">
      <c r="A29" s="69" t="s">
        <v>63</v>
      </c>
      <c r="B29" s="39" t="s">
        <v>39</v>
      </c>
      <c r="C29" s="73">
        <v>53074.937599999997</v>
      </c>
      <c r="D29" s="68">
        <v>1E-3</v>
      </c>
      <c r="E29" s="38">
        <f t="shared" si="0"/>
        <v>89.50009185880397</v>
      </c>
      <c r="F29" s="38">
        <f t="shared" si="1"/>
        <v>89.5</v>
      </c>
      <c r="G29" s="38">
        <f t="shared" si="5"/>
        <v>5.1499991968739778E-5</v>
      </c>
      <c r="H29" s="63"/>
      <c r="K29" s="63">
        <f t="shared" si="4"/>
        <v>5.1499991968739778E-5</v>
      </c>
      <c r="O29" s="38">
        <f t="shared" ca="1" si="2"/>
        <v>4.3468281195521772E-4</v>
      </c>
      <c r="Q29" s="64">
        <f t="shared" si="3"/>
        <v>38056.437599999997</v>
      </c>
      <c r="R29" s="65"/>
    </row>
    <row r="30" spans="1:20" s="38" customFormat="1" ht="12.75" customHeight="1" x14ac:dyDescent="0.2">
      <c r="A30" s="69" t="s">
        <v>63</v>
      </c>
      <c r="B30" s="39" t="s">
        <v>39</v>
      </c>
      <c r="C30" s="73">
        <v>53077.743840605392</v>
      </c>
      <c r="D30" s="68">
        <v>1E-3</v>
      </c>
      <c r="E30" s="38">
        <f t="shared" si="0"/>
        <v>94.505488529045323</v>
      </c>
      <c r="F30" s="38">
        <f t="shared" si="1"/>
        <v>94.5</v>
      </c>
      <c r="G30" s="38">
        <f t="shared" si="5"/>
        <v>3.0771053861826658E-3</v>
      </c>
      <c r="H30" s="63"/>
      <c r="K30" s="63">
        <f t="shared" si="4"/>
        <v>3.0771053861826658E-3</v>
      </c>
      <c r="O30" s="38">
        <f t="shared" ca="1" si="2"/>
        <v>4.3119644317847938E-4</v>
      </c>
      <c r="Q30" s="64">
        <f t="shared" si="3"/>
        <v>38059.243840605392</v>
      </c>
      <c r="R30" s="65"/>
    </row>
    <row r="31" spans="1:20" s="38" customFormat="1" ht="12.75" customHeight="1" x14ac:dyDescent="0.2">
      <c r="A31" s="63" t="s">
        <v>38</v>
      </c>
      <c r="B31" s="74"/>
      <c r="C31" s="72">
        <v>53090.356399999997</v>
      </c>
      <c r="D31" s="72">
        <v>5.0000000000000001E-4</v>
      </c>
      <c r="E31" s="38">
        <f t="shared" si="0"/>
        <v>117.00208510584258</v>
      </c>
      <c r="F31" s="38">
        <f t="shared" si="1"/>
        <v>117</v>
      </c>
      <c r="G31" s="38">
        <f t="shared" si="5"/>
        <v>1.1689999955706298E-3</v>
      </c>
      <c r="I31" s="63"/>
      <c r="K31" s="63">
        <f t="shared" si="4"/>
        <v>1.1689999955706298E-3</v>
      </c>
      <c r="O31" s="38">
        <f t="shared" ca="1" si="2"/>
        <v>4.155077836831568E-4</v>
      </c>
      <c r="Q31" s="64">
        <f t="shared" si="3"/>
        <v>38071.856399999997</v>
      </c>
      <c r="R31" s="65"/>
    </row>
    <row r="32" spans="1:20" s="38" customFormat="1" ht="12.75" customHeight="1" x14ac:dyDescent="0.2">
      <c r="A32" s="63" t="s">
        <v>64</v>
      </c>
      <c r="B32" s="74" t="s">
        <v>35</v>
      </c>
      <c r="C32" s="72">
        <v>53404.876799999998</v>
      </c>
      <c r="D32" s="72">
        <v>2.9999999999999997E-4</v>
      </c>
      <c r="E32" s="38">
        <f t="shared" si="0"/>
        <v>678.00150898164452</v>
      </c>
      <c r="F32" s="38">
        <f t="shared" si="1"/>
        <v>678</v>
      </c>
      <c r="G32" s="38">
        <f t="shared" si="5"/>
        <v>8.459999953629449E-4</v>
      </c>
      <c r="I32" s="63"/>
      <c r="K32" s="63">
        <f t="shared" si="4"/>
        <v>8.459999953629449E-4</v>
      </c>
      <c r="O32" s="38">
        <f t="shared" ca="1" si="2"/>
        <v>2.4337206933114071E-5</v>
      </c>
      <c r="Q32" s="64">
        <f t="shared" si="3"/>
        <v>38386.376799999998</v>
      </c>
      <c r="R32" s="65"/>
    </row>
    <row r="33" spans="1:18" s="38" customFormat="1" ht="12.75" customHeight="1" x14ac:dyDescent="0.2">
      <c r="A33" s="72" t="s">
        <v>65</v>
      </c>
      <c r="B33" s="74" t="s">
        <v>35</v>
      </c>
      <c r="C33" s="72">
        <v>55960.843000000001</v>
      </c>
      <c r="D33" s="72">
        <v>5.0000000000000001E-4</v>
      </c>
      <c r="E33" s="38">
        <f t="shared" si="0"/>
        <v>5236.992167921474</v>
      </c>
      <c r="F33" s="38">
        <f t="shared" si="1"/>
        <v>5237</v>
      </c>
      <c r="G33" s="38">
        <f t="shared" si="5"/>
        <v>-4.3910000022151507E-3</v>
      </c>
      <c r="I33" s="63"/>
      <c r="K33" s="63">
        <f t="shared" si="4"/>
        <v>-4.3910000022151507E-3</v>
      </c>
      <c r="O33" s="38">
        <f t="shared" ca="1" si="2"/>
        <v>-3.154533843696912E-3</v>
      </c>
      <c r="Q33" s="64">
        <f t="shared" si="3"/>
        <v>40942.343000000001</v>
      </c>
      <c r="R33" s="65"/>
    </row>
    <row r="34" spans="1:18" s="38" customFormat="1" ht="12.75" customHeight="1" x14ac:dyDescent="0.2">
      <c r="A34" s="63" t="s">
        <v>66</v>
      </c>
      <c r="B34" s="74" t="s">
        <v>39</v>
      </c>
      <c r="C34" s="72">
        <v>56009.3413</v>
      </c>
      <c r="D34" s="72">
        <v>1.6899999999999998E-2</v>
      </c>
      <c r="E34" s="38">
        <f t="shared" si="0"/>
        <v>5323.4969490388676</v>
      </c>
      <c r="F34" s="38">
        <f t="shared" si="1"/>
        <v>5323.5</v>
      </c>
      <c r="G34" s="38">
        <f t="shared" si="5"/>
        <v>-1.7105000006267801E-3</v>
      </c>
      <c r="I34" s="63"/>
      <c r="K34" s="63">
        <f t="shared" si="4"/>
        <v>-1.7105000006267801E-3</v>
      </c>
      <c r="O34" s="38">
        <f t="shared" ca="1" si="2"/>
        <v>-3.2148480235344853E-3</v>
      </c>
      <c r="Q34" s="64">
        <f t="shared" si="3"/>
        <v>40990.8413</v>
      </c>
      <c r="R34" s="65"/>
    </row>
    <row r="35" spans="1:18" s="38" customFormat="1" ht="12.75" customHeight="1" x14ac:dyDescent="0.2">
      <c r="A35" s="63" t="s">
        <v>66</v>
      </c>
      <c r="B35" s="74" t="s">
        <v>35</v>
      </c>
      <c r="C35" s="72">
        <v>56009.6175</v>
      </c>
      <c r="D35" s="72">
        <v>3.3E-3</v>
      </c>
      <c r="E35" s="38">
        <f t="shared" si="0"/>
        <v>5323.9895976583994</v>
      </c>
      <c r="F35" s="38">
        <f t="shared" si="1"/>
        <v>5324</v>
      </c>
      <c r="G35" s="38">
        <f t="shared" si="5"/>
        <v>-5.8320000025560148E-3</v>
      </c>
      <c r="I35" s="63"/>
      <c r="K35" s="63">
        <f t="shared" si="4"/>
        <v>-5.8320000025560148E-3</v>
      </c>
      <c r="O35" s="38">
        <f t="shared" ca="1" si="2"/>
        <v>-3.215196660412159E-3</v>
      </c>
      <c r="Q35" s="64">
        <f t="shared" si="3"/>
        <v>40991.1175</v>
      </c>
      <c r="R35" s="65"/>
    </row>
    <row r="36" spans="1:18" s="38" customFormat="1" ht="12.75" customHeight="1" x14ac:dyDescent="0.2">
      <c r="A36" s="72" t="s">
        <v>65</v>
      </c>
      <c r="B36" s="74" t="s">
        <v>35</v>
      </c>
      <c r="C36" s="72">
        <v>56042.697899999999</v>
      </c>
      <c r="D36" s="72">
        <v>5.0000000000000001E-4</v>
      </c>
      <c r="E36" s="38">
        <f t="shared" si="0"/>
        <v>5382.9939908283832</v>
      </c>
      <c r="F36" s="38">
        <f t="shared" si="1"/>
        <v>5383</v>
      </c>
      <c r="G36" s="38">
        <f t="shared" si="5"/>
        <v>-3.3690000054775737E-3</v>
      </c>
      <c r="I36" s="63"/>
      <c r="K36" s="63">
        <f t="shared" si="4"/>
        <v>-3.3690000054775737E-3</v>
      </c>
      <c r="O36" s="38">
        <f t="shared" ca="1" si="2"/>
        <v>-3.2563358119776717E-3</v>
      </c>
      <c r="Q36" s="64">
        <f t="shared" si="3"/>
        <v>41024.197899999999</v>
      </c>
      <c r="R36" s="65"/>
    </row>
    <row r="37" spans="1:18" s="38" customFormat="1" ht="12.75" customHeight="1" x14ac:dyDescent="0.2">
      <c r="A37" s="75" t="s">
        <v>67</v>
      </c>
      <c r="B37" s="76" t="s">
        <v>35</v>
      </c>
      <c r="C37" s="75">
        <v>56387.493199999997</v>
      </c>
      <c r="D37" s="75">
        <v>8.3999999999999995E-3</v>
      </c>
      <c r="E37" s="38">
        <f>+(C37-C$7)/C$8</f>
        <v>5997.9937321967727</v>
      </c>
      <c r="F37" s="38">
        <f t="shared" si="1"/>
        <v>5998</v>
      </c>
      <c r="G37" s="38">
        <f>+C37-(C$7+F37*C$8)</f>
        <v>-3.514000003633555E-3</v>
      </c>
      <c r="I37" s="63"/>
      <c r="K37" s="63">
        <f t="shared" si="4"/>
        <v>-3.514000003633555E-3</v>
      </c>
      <c r="O37" s="38">
        <f ca="1">+C$11+C$12*F37</f>
        <v>-3.6851591715164889E-3</v>
      </c>
      <c r="Q37" s="64">
        <f>+C37-15018.5</f>
        <v>41368.993199999997</v>
      </c>
      <c r="R37" s="65"/>
    </row>
    <row r="38" spans="1:18" s="38" customFormat="1" ht="12.75" customHeight="1" x14ac:dyDescent="0.2">
      <c r="A38" s="75" t="s">
        <v>67</v>
      </c>
      <c r="B38" s="76" t="s">
        <v>35</v>
      </c>
      <c r="C38" s="75">
        <v>56761.435400000002</v>
      </c>
      <c r="D38" s="75">
        <v>4.1999999999999997E-3</v>
      </c>
      <c r="E38" s="38">
        <f>+(C38-C$7)/C$8</f>
        <v>6664.9818155225339</v>
      </c>
      <c r="F38" s="38">
        <f t="shared" si="1"/>
        <v>6665</v>
      </c>
      <c r="G38" s="38">
        <f>+C38-(C$7+F38*C$8)</f>
        <v>-1.0195000002568122E-2</v>
      </c>
      <c r="I38" s="63"/>
      <c r="K38" s="63">
        <f t="shared" si="4"/>
        <v>-1.0195000002568122E-2</v>
      </c>
      <c r="O38" s="38">
        <f ca="1">+C$11+C$12*F38</f>
        <v>-4.1502407663333843E-3</v>
      </c>
      <c r="Q38" s="64">
        <f>+C38-15018.5</f>
        <v>41742.935400000002</v>
      </c>
      <c r="R38" s="65"/>
    </row>
    <row r="39" spans="1:18" x14ac:dyDescent="0.2">
      <c r="A39" s="30" t="s">
        <v>68</v>
      </c>
      <c r="B39" s="31" t="s">
        <v>39</v>
      </c>
      <c r="C39" s="32">
        <v>57797.224800000004</v>
      </c>
      <c r="D39" s="33" t="s">
        <v>69</v>
      </c>
      <c r="E39" s="1">
        <f>+(C39-C$7)/C$8</f>
        <v>8512.4844152161022</v>
      </c>
      <c r="F39" s="1">
        <f t="shared" si="1"/>
        <v>8512.5</v>
      </c>
      <c r="G39" s="1">
        <f>+C39-(C$7+F39*C$8)</f>
        <v>-8.7375000002793968E-3</v>
      </c>
      <c r="I39" s="20"/>
      <c r="K39" s="20">
        <f t="shared" si="4"/>
        <v>-8.7375000002793968E-3</v>
      </c>
      <c r="O39" s="1">
        <f ca="1">+C$11+C$12*F39</f>
        <v>-5.4384540293382043E-3</v>
      </c>
      <c r="Q39" s="37">
        <f>+C39-15018.5</f>
        <v>42778.724800000004</v>
      </c>
      <c r="R39" s="21"/>
    </row>
    <row r="40" spans="1:18" x14ac:dyDescent="0.2">
      <c r="A40" s="34" t="s">
        <v>70</v>
      </c>
      <c r="B40" s="35" t="s">
        <v>39</v>
      </c>
      <c r="C40" s="36">
        <v>58925.247000000003</v>
      </c>
      <c r="D40" s="36" t="s">
        <v>69</v>
      </c>
      <c r="E40" s="1">
        <f>+(C40-C$7)/C$8</f>
        <v>10524.499547840605</v>
      </c>
      <c r="F40" s="1">
        <f>ROUND(2*E40,0)/2</f>
        <v>10524.5</v>
      </c>
      <c r="G40" s="1">
        <f>+C40-(C$7+F40*C$8)</f>
        <v>-2.5350000214530155E-4</v>
      </c>
      <c r="I40" s="20"/>
      <c r="K40" s="20">
        <f>+G40</f>
        <v>-2.5350000214530155E-4</v>
      </c>
      <c r="O40" s="1">
        <f ca="1">+C$11+C$12*F40</f>
        <v>-6.8413688250977154E-3</v>
      </c>
      <c r="Q40" s="37">
        <f>+C40-15018.5</f>
        <v>43906.747000000003</v>
      </c>
      <c r="R40" s="21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workbookViewId="0">
      <selection activeCell="AA19" sqref="AA19:AB19"/>
    </sheetView>
  </sheetViews>
  <sheetFormatPr defaultColWidth="10.28515625" defaultRowHeight="12.75" x14ac:dyDescent="0.2"/>
  <cols>
    <col min="1" max="1" width="14.42578125" style="1" customWidth="1"/>
    <col min="2" max="2" width="5.140625" style="2" customWidth="1"/>
    <col min="3" max="3" width="13.42578125" style="1" customWidth="1"/>
    <col min="4" max="4" width="9.42578125" style="1" customWidth="1"/>
    <col min="5" max="6" width="10.28515625" style="1"/>
    <col min="7" max="7" width="8.140625" style="1" customWidth="1"/>
    <col min="8" max="13" width="8.5703125" style="1" customWidth="1"/>
    <col min="14" max="16" width="6.5703125" style="1" customWidth="1"/>
    <col min="17" max="17" width="11.5703125" style="1" customWidth="1"/>
    <col min="18" max="18" width="6.5703125" style="1" customWidth="1"/>
    <col min="19" max="19" width="9.42578125" style="1" customWidth="1"/>
    <col min="20" max="32" width="6.5703125" style="1" customWidth="1"/>
    <col min="33" max="16384" width="10.28515625" style="1"/>
  </cols>
  <sheetData>
    <row r="1" spans="1:36" ht="20.25" x14ac:dyDescent="0.3">
      <c r="A1" s="3" t="s">
        <v>0</v>
      </c>
      <c r="N1" s="1">
        <v>1.3982000000032713</v>
      </c>
    </row>
    <row r="2" spans="1:36" x14ac:dyDescent="0.2">
      <c r="A2" s="4"/>
      <c r="N2" s="1">
        <v>0.5</v>
      </c>
      <c r="O2" s="1">
        <v>1</v>
      </c>
      <c r="P2" s="1">
        <v>1.5</v>
      </c>
      <c r="Q2" s="1">
        <v>2</v>
      </c>
      <c r="R2" s="1">
        <v>2.5</v>
      </c>
      <c r="S2" s="1">
        <v>3</v>
      </c>
      <c r="T2" s="1">
        <v>3.5</v>
      </c>
      <c r="U2" s="1">
        <v>4</v>
      </c>
      <c r="V2" s="1">
        <v>4.5</v>
      </c>
      <c r="W2" s="1">
        <v>5</v>
      </c>
      <c r="X2" s="1">
        <v>5.5</v>
      </c>
      <c r="Y2" s="1">
        <v>6</v>
      </c>
      <c r="Z2" s="1">
        <v>6.5</v>
      </c>
      <c r="AA2" s="1">
        <v>7</v>
      </c>
      <c r="AB2" s="1">
        <v>7.5</v>
      </c>
      <c r="AC2" s="1">
        <v>8</v>
      </c>
      <c r="AD2" s="1">
        <v>8.5</v>
      </c>
      <c r="AE2" s="1">
        <v>9</v>
      </c>
      <c r="AF2" s="1">
        <v>9.5</v>
      </c>
    </row>
    <row r="3" spans="1:36" x14ac:dyDescent="0.2">
      <c r="N3" s="1">
        <v>2.7964000000065425</v>
      </c>
      <c r="O3" s="1">
        <v>1.3982000000032713</v>
      </c>
      <c r="P3" s="1">
        <v>0.93213333333551418</v>
      </c>
      <c r="Q3" s="1">
        <v>0.69910000000163564</v>
      </c>
      <c r="R3" s="5">
        <v>0.55928000000130851</v>
      </c>
      <c r="S3" s="1">
        <v>0.46606666666775709</v>
      </c>
      <c r="T3" s="6">
        <v>0.39948571428664892</v>
      </c>
      <c r="U3" s="1">
        <v>0.34955000000081782</v>
      </c>
      <c r="V3" s="1">
        <v>0.31071111111183808</v>
      </c>
      <c r="W3" s="1">
        <v>0.27964000000065425</v>
      </c>
      <c r="X3" s="1">
        <v>0.25421818181877659</v>
      </c>
      <c r="Y3" s="1">
        <v>0.23303333333387855</v>
      </c>
      <c r="Z3" s="1">
        <v>0.21510769230819557</v>
      </c>
      <c r="AA3" s="1">
        <v>0.19974285714332446</v>
      </c>
      <c r="AB3" s="1">
        <v>0.18642666666710284</v>
      </c>
      <c r="AC3" s="1">
        <v>0.17477500000040891</v>
      </c>
      <c r="AD3" s="1">
        <v>0.16449411764744368</v>
      </c>
      <c r="AE3" s="1">
        <v>0.15535555555591904</v>
      </c>
      <c r="AF3" s="1">
        <v>0.14717894736876538</v>
      </c>
    </row>
    <row r="4" spans="1:36" x14ac:dyDescent="0.2">
      <c r="A4" s="5" t="s">
        <v>1</v>
      </c>
      <c r="C4" s="7" t="s">
        <v>2</v>
      </c>
      <c r="D4" s="8" t="s">
        <v>2</v>
      </c>
      <c r="N4" s="9">
        <v>6.5763291927577391E-2</v>
      </c>
      <c r="O4" s="10">
        <v>5.2857045394828779E-2</v>
      </c>
      <c r="P4" s="10">
        <v>1.796284796642135E-2</v>
      </c>
      <c r="Q4" s="10">
        <v>1.0449287063001748E-2</v>
      </c>
      <c r="R4" s="11">
        <v>6.0744732656062171E-3</v>
      </c>
      <c r="S4" s="10">
        <v>3.4936953195851628E-3</v>
      </c>
      <c r="T4" s="10">
        <v>4.3750241870490483E-4</v>
      </c>
      <c r="U4" s="10">
        <v>5.8143523778649128E-4</v>
      </c>
      <c r="V4" s="10">
        <v>1.3636040472967642E-3</v>
      </c>
      <c r="W4" s="10">
        <v>3.8393560299745362E-3</v>
      </c>
      <c r="X4" s="10">
        <v>1.3022957702365954E-3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 x14ac:dyDescent="0.2">
      <c r="S5" s="1" t="s">
        <v>3</v>
      </c>
      <c r="T5" s="1" t="s">
        <v>3</v>
      </c>
      <c r="U5" s="1" t="s">
        <v>3</v>
      </c>
    </row>
    <row r="6" spans="1:36" x14ac:dyDescent="0.2">
      <c r="A6" s="5" t="s">
        <v>4</v>
      </c>
    </row>
    <row r="7" spans="1:36" x14ac:dyDescent="0.2">
      <c r="A7" s="1" t="s">
        <v>5</v>
      </c>
      <c r="C7" s="1">
        <v>53024.76</v>
      </c>
    </row>
    <row r="8" spans="1:36" x14ac:dyDescent="0.2">
      <c r="A8" s="1" t="s">
        <v>6</v>
      </c>
      <c r="C8" s="5">
        <v>0.56041348856485296</v>
      </c>
    </row>
    <row r="10" spans="1:36" x14ac:dyDescent="0.2">
      <c r="C10" s="12" t="s">
        <v>7</v>
      </c>
      <c r="D10" s="12" t="s">
        <v>8</v>
      </c>
    </row>
    <row r="11" spans="1:36" x14ac:dyDescent="0.2">
      <c r="A11" s="1" t="s">
        <v>9</v>
      </c>
      <c r="C11" s="1">
        <f>INTERCEPT(G21:G992,F21:F992)</f>
        <v>-6.137726408314486E-2</v>
      </c>
      <c r="D11" s="2"/>
    </row>
    <row r="12" spans="1:36" x14ac:dyDescent="0.2">
      <c r="A12" s="1" t="s">
        <v>10</v>
      </c>
      <c r="C12" s="1">
        <f>SLOPE(G21:G992,F21:F992)</f>
        <v>1.579186076955763E-5</v>
      </c>
      <c r="D12" s="2"/>
    </row>
    <row r="13" spans="1:36" x14ac:dyDescent="0.2">
      <c r="A13" s="1" t="s">
        <v>11</v>
      </c>
      <c r="C13" s="2" t="s">
        <v>2</v>
      </c>
      <c r="D13" s="2"/>
    </row>
    <row r="14" spans="1:36" x14ac:dyDescent="0.2">
      <c r="A14" s="1" t="s">
        <v>12</v>
      </c>
      <c r="C14" s="13">
        <f>SUM(R21:R23)</f>
        <v>0</v>
      </c>
    </row>
    <row r="15" spans="1:36" x14ac:dyDescent="0.2">
      <c r="A15" s="5" t="s">
        <v>13</v>
      </c>
      <c r="C15" s="1">
        <v>53090.356399999997</v>
      </c>
    </row>
    <row r="16" spans="1:36" x14ac:dyDescent="0.2">
      <c r="A16" s="5" t="s">
        <v>14</v>
      </c>
      <c r="C16" s="1">
        <f>+C8+C12</f>
        <v>0.56042928042562257</v>
      </c>
    </row>
    <row r="18" spans="1:19" x14ac:dyDescent="0.2">
      <c r="A18" s="5" t="s">
        <v>15</v>
      </c>
      <c r="C18" s="14">
        <f>+C15</f>
        <v>53090.356399999997</v>
      </c>
      <c r="D18" s="15">
        <f>+C16</f>
        <v>0.56042928042562257</v>
      </c>
    </row>
    <row r="20" spans="1:19" x14ac:dyDescent="0.2">
      <c r="A20" s="12" t="s">
        <v>16</v>
      </c>
      <c r="B20" s="12" t="s">
        <v>17</v>
      </c>
      <c r="C20" s="12" t="s">
        <v>18</v>
      </c>
      <c r="D20" s="12" t="s">
        <v>19</v>
      </c>
      <c r="E20" s="12" t="s">
        <v>20</v>
      </c>
      <c r="F20" s="12" t="s">
        <v>21</v>
      </c>
      <c r="G20" s="12" t="s">
        <v>22</v>
      </c>
      <c r="H20" s="16" t="s">
        <v>23</v>
      </c>
      <c r="I20" s="16" t="s">
        <v>24</v>
      </c>
      <c r="J20" s="16" t="s">
        <v>25</v>
      </c>
      <c r="K20" s="16" t="s">
        <v>26</v>
      </c>
      <c r="L20" s="16" t="s">
        <v>27</v>
      </c>
      <c r="M20" s="16" t="s">
        <v>28</v>
      </c>
      <c r="N20" s="16" t="s">
        <v>29</v>
      </c>
      <c r="O20" s="16" t="s">
        <v>30</v>
      </c>
      <c r="P20" s="16" t="s">
        <v>31</v>
      </c>
      <c r="Q20" s="12" t="s">
        <v>32</v>
      </c>
      <c r="S20" s="17" t="s">
        <v>33</v>
      </c>
    </row>
    <row r="21" spans="1:19" x14ac:dyDescent="0.2">
      <c r="A21" s="1" t="s">
        <v>34</v>
      </c>
      <c r="B21" s="1" t="s">
        <v>35</v>
      </c>
      <c r="C21" s="18">
        <v>51582.786200000002</v>
      </c>
      <c r="D21" s="19" t="s">
        <v>2</v>
      </c>
      <c r="E21" s="1">
        <f t="shared" ref="E21:E31" si="0">+(C21-C$7)/C$8</f>
        <v>-2573.0533426179832</v>
      </c>
      <c r="F21" s="13">
        <f>ROUND(2*E21,0)/2+1</f>
        <v>-2572</v>
      </c>
      <c r="G21" s="1">
        <f>+C21-(C$7+F21*C$8)</f>
        <v>-0.59030741119931918</v>
      </c>
      <c r="N21" s="20">
        <f>+G21</f>
        <v>-0.59030741119931918</v>
      </c>
      <c r="O21" s="1">
        <f t="shared" ref="O21:O31" si="1">+C$11+C$12*F21</f>
        <v>-0.10199392998244708</v>
      </c>
      <c r="Q21" s="37">
        <f t="shared" ref="Q21:Q31" si="2">+C21-15018.5</f>
        <v>36564.286200000002</v>
      </c>
    </row>
    <row r="22" spans="1:19" x14ac:dyDescent="0.2">
      <c r="A22" s="22" t="s">
        <v>36</v>
      </c>
      <c r="B22" s="1"/>
      <c r="C22" s="18">
        <v>52669.868000000002</v>
      </c>
      <c r="D22" s="19">
        <v>3.0000000000000001E-3</v>
      </c>
      <c r="E22" s="1">
        <f t="shared" si="0"/>
        <v>-633.26812655568426</v>
      </c>
      <c r="F22" s="13">
        <f>ROUND(2*E22,0)/2+0.5</f>
        <v>-633</v>
      </c>
      <c r="G22" s="1">
        <f>+C22-(C$7+F22*C$8)</f>
        <v>-0.15026173844671575</v>
      </c>
      <c r="N22" s="20">
        <f>+G22</f>
        <v>-0.15026173844671575</v>
      </c>
      <c r="O22" s="1">
        <f t="shared" si="1"/>
        <v>-7.1373511950274832E-2</v>
      </c>
      <c r="Q22" s="37">
        <f t="shared" si="2"/>
        <v>37651.368000000002</v>
      </c>
    </row>
    <row r="23" spans="1:19" x14ac:dyDescent="0.2">
      <c r="A23" s="5" t="s">
        <v>37</v>
      </c>
      <c r="B23" s="2" t="s">
        <v>35</v>
      </c>
      <c r="C23" s="23">
        <v>53024.76</v>
      </c>
      <c r="D23" s="2">
        <v>0.01</v>
      </c>
      <c r="E23" s="1">
        <f t="shared" si="0"/>
        <v>0</v>
      </c>
      <c r="F23" s="1">
        <f t="shared" ref="F23:F32" si="3">ROUND(2*E23,0)/2</f>
        <v>0</v>
      </c>
      <c r="H23" s="20">
        <v>0</v>
      </c>
      <c r="O23" s="1">
        <f t="shared" si="1"/>
        <v>-6.137726408314486E-2</v>
      </c>
      <c r="Q23" s="37">
        <f t="shared" si="2"/>
        <v>38006.26</v>
      </c>
    </row>
    <row r="24" spans="1:19" x14ac:dyDescent="0.2">
      <c r="A24" s="5" t="s">
        <v>37</v>
      </c>
      <c r="B24" s="2" t="s">
        <v>35</v>
      </c>
      <c r="C24" s="23">
        <v>53053.919999999998</v>
      </c>
      <c r="D24" s="2">
        <v>0.01</v>
      </c>
      <c r="E24" s="1">
        <f t="shared" si="0"/>
        <v>52.033008831873829</v>
      </c>
      <c r="F24" s="1">
        <f t="shared" si="3"/>
        <v>52</v>
      </c>
      <c r="G24" s="1">
        <f t="shared" ref="G24:G31" si="4">+C24-(C$7+F24*C$8)</f>
        <v>1.8498594625270925E-2</v>
      </c>
      <c r="H24" s="1">
        <f>+G24</f>
        <v>1.8498594625270925E-2</v>
      </c>
      <c r="O24" s="1">
        <f t="shared" si="1"/>
        <v>-6.0556087323127866E-2</v>
      </c>
      <c r="Q24" s="37">
        <f t="shared" si="2"/>
        <v>38035.42</v>
      </c>
      <c r="R24" s="1">
        <f>+(O24-H24)^2</f>
        <v>6.2496427379624894E-3</v>
      </c>
      <c r="S24" s="1">
        <f>+C24-C23</f>
        <v>29.159999999996217</v>
      </c>
    </row>
    <row r="25" spans="1:19" x14ac:dyDescent="0.2">
      <c r="A25" s="6" t="s">
        <v>38</v>
      </c>
      <c r="B25" s="2" t="s">
        <v>39</v>
      </c>
      <c r="C25" s="23">
        <v>53055.318200000002</v>
      </c>
      <c r="D25" s="2">
        <v>5.0000000000000001E-4</v>
      </c>
      <c r="E25" s="1">
        <f t="shared" si="0"/>
        <v>54.527952348640142</v>
      </c>
      <c r="F25" s="1">
        <f t="shared" si="3"/>
        <v>54.5</v>
      </c>
      <c r="G25" s="1">
        <f t="shared" si="4"/>
        <v>1.5664873215428088E-2</v>
      </c>
      <c r="I25" s="1">
        <f>+G25</f>
        <v>1.5664873215428088E-2</v>
      </c>
      <c r="O25" s="1">
        <f t="shared" si="1"/>
        <v>-6.0516607671203967E-2</v>
      </c>
      <c r="Q25" s="37">
        <f t="shared" si="2"/>
        <v>38036.818200000002</v>
      </c>
      <c r="R25" s="1">
        <f>+(O25-H25)^2</f>
        <v>3.6622598040304227E-3</v>
      </c>
      <c r="S25" s="1">
        <f>+C25-C24</f>
        <v>1.3982000000032713</v>
      </c>
    </row>
    <row r="26" spans="1:19" x14ac:dyDescent="0.2">
      <c r="A26" s="24" t="s">
        <v>40</v>
      </c>
      <c r="B26" s="2" t="s">
        <v>39</v>
      </c>
      <c r="C26" s="10">
        <v>53058.679782862346</v>
      </c>
      <c r="D26" s="2">
        <v>1E-3</v>
      </c>
      <c r="E26" s="1">
        <f t="shared" si="0"/>
        <v>60.526349837167409</v>
      </c>
      <c r="F26" s="1">
        <f t="shared" si="3"/>
        <v>60.5</v>
      </c>
      <c r="G26" s="1">
        <f t="shared" si="4"/>
        <v>1.476680416817544E-2</v>
      </c>
      <c r="H26" s="20">
        <f>+G26</f>
        <v>1.476680416817544E-2</v>
      </c>
      <c r="O26" s="1">
        <f t="shared" si="1"/>
        <v>-6.0421856506586623E-2</v>
      </c>
      <c r="Q26" s="37">
        <f t="shared" si="2"/>
        <v>38040.179782862346</v>
      </c>
      <c r="R26" s="1">
        <f>+(O26-H26)^2</f>
        <v>5.6533346940645119E-3</v>
      </c>
      <c r="S26" s="1">
        <f>+C26-C25</f>
        <v>3.3615828623442212</v>
      </c>
    </row>
    <row r="27" spans="1:19" x14ac:dyDescent="0.2">
      <c r="A27" s="24" t="s">
        <v>41</v>
      </c>
      <c r="B27" s="2" t="s">
        <v>35</v>
      </c>
      <c r="C27" s="9">
        <v>53058.959542729557</v>
      </c>
      <c r="D27" s="25">
        <v>1E-3</v>
      </c>
      <c r="E27" s="20">
        <f t="shared" si="0"/>
        <v>61.025552431180316</v>
      </c>
      <c r="F27" s="20">
        <f t="shared" si="3"/>
        <v>61</v>
      </c>
      <c r="G27" s="20">
        <f t="shared" si="4"/>
        <v>1.4319927096948959E-2</v>
      </c>
      <c r="H27" s="20">
        <f>+G27</f>
        <v>1.4319927096948959E-2</v>
      </c>
      <c r="O27" s="1">
        <f t="shared" si="1"/>
        <v>-6.0413960576201846E-2</v>
      </c>
      <c r="Q27" s="37">
        <f t="shared" si="2"/>
        <v>38040.459542729557</v>
      </c>
      <c r="R27" s="1">
        <f>+(O27-H27)^2</f>
        <v>5.5851539667431229E-3</v>
      </c>
      <c r="S27" s="5">
        <f>+C27-C26</f>
        <v>0.27975986721139634</v>
      </c>
    </row>
    <row r="28" spans="1:19" x14ac:dyDescent="0.2">
      <c r="A28" s="24" t="s">
        <v>42</v>
      </c>
      <c r="B28" s="2" t="s">
        <v>35</v>
      </c>
      <c r="C28" s="10">
        <v>53066.809000000001</v>
      </c>
      <c r="D28" s="2">
        <v>1E-3</v>
      </c>
      <c r="E28" s="1">
        <f t="shared" si="0"/>
        <v>75.032098366656314</v>
      </c>
      <c r="F28" s="1">
        <f t="shared" si="3"/>
        <v>75</v>
      </c>
      <c r="G28" s="1">
        <f t="shared" si="4"/>
        <v>1.7988357634749264E-2</v>
      </c>
      <c r="H28" s="20">
        <f>+G28</f>
        <v>1.7988357634749264E-2</v>
      </c>
      <c r="O28" s="1">
        <f t="shared" si="1"/>
        <v>-6.0192874525428035E-2</v>
      </c>
      <c r="Q28" s="37">
        <f t="shared" si="2"/>
        <v>38048.309000000001</v>
      </c>
      <c r="R28" s="1">
        <f>+(O28-H28)^2</f>
        <v>6.1123050620835425E-3</v>
      </c>
      <c r="S28" s="1">
        <f>+C28-C27</f>
        <v>7.8494572704439634</v>
      </c>
    </row>
    <row r="29" spans="1:19" x14ac:dyDescent="0.2">
      <c r="A29" s="24" t="s">
        <v>43</v>
      </c>
      <c r="B29" s="2" t="s">
        <v>39</v>
      </c>
      <c r="C29" s="1">
        <v>53074.937599999997</v>
      </c>
      <c r="D29" s="2">
        <v>1E-3</v>
      </c>
      <c r="E29" s="1">
        <f t="shared" si="0"/>
        <v>89.536745677720631</v>
      </c>
      <c r="F29" s="1">
        <f t="shared" si="3"/>
        <v>89.5</v>
      </c>
      <c r="G29" s="1">
        <f t="shared" si="4"/>
        <v>2.0592773442331236E-2</v>
      </c>
      <c r="H29" s="20">
        <f>+G29</f>
        <v>2.0592773442331236E-2</v>
      </c>
      <c r="O29" s="1">
        <f t="shared" si="1"/>
        <v>-5.9963892544269454E-2</v>
      </c>
      <c r="Q29" s="37">
        <f t="shared" si="2"/>
        <v>38056.437599999997</v>
      </c>
    </row>
    <row r="30" spans="1:19" x14ac:dyDescent="0.2">
      <c r="A30" s="24" t="s">
        <v>44</v>
      </c>
      <c r="B30" s="2" t="s">
        <v>39</v>
      </c>
      <c r="C30" s="1">
        <v>53077.743840605392</v>
      </c>
      <c r="D30" s="2">
        <v>1E-3</v>
      </c>
      <c r="E30" s="1">
        <f t="shared" si="0"/>
        <v>94.544192255390527</v>
      </c>
      <c r="F30" s="1">
        <f t="shared" si="3"/>
        <v>94.5</v>
      </c>
      <c r="G30" s="1">
        <f t="shared" si="4"/>
        <v>2.4765936010226142E-2</v>
      </c>
      <c r="H30" s="20">
        <f>+G30</f>
        <v>2.4765936010226142E-2</v>
      </c>
      <c r="O30" s="1">
        <f t="shared" si="1"/>
        <v>-5.9884933240421663E-2</v>
      </c>
      <c r="Q30" s="37">
        <f t="shared" si="2"/>
        <v>38059.243840605392</v>
      </c>
    </row>
    <row r="31" spans="1:19" x14ac:dyDescent="0.2">
      <c r="A31" s="20" t="s">
        <v>38</v>
      </c>
      <c r="C31" s="1">
        <v>53090.356399999997</v>
      </c>
      <c r="D31" s="2">
        <v>5.0000000000000001E-4</v>
      </c>
      <c r="E31" s="1">
        <f t="shared" si="0"/>
        <v>117.05000207610789</v>
      </c>
      <c r="F31" s="1">
        <f t="shared" si="3"/>
        <v>117</v>
      </c>
      <c r="G31" s="1">
        <f t="shared" si="4"/>
        <v>2.8021837904816493E-2</v>
      </c>
      <c r="I31" s="20">
        <f>+G31</f>
        <v>2.8021837904816493E-2</v>
      </c>
      <c r="O31" s="1">
        <f t="shared" si="1"/>
        <v>-5.9529616373106616E-2</v>
      </c>
      <c r="Q31" s="37">
        <f t="shared" si="2"/>
        <v>38071.856399999997</v>
      </c>
    </row>
    <row r="32" spans="1:19" x14ac:dyDescent="0.2">
      <c r="A32" s="20" t="s">
        <v>45</v>
      </c>
      <c r="B32" s="2" t="s">
        <v>35</v>
      </c>
      <c r="C32" s="20">
        <v>53404.876799999998</v>
      </c>
      <c r="D32" s="2">
        <v>2.9999999999999997E-4</v>
      </c>
      <c r="E32" s="1">
        <f>+(C32-C$7)/C$8</f>
        <v>678.27917735068525</v>
      </c>
      <c r="F32" s="1">
        <f t="shared" si="3"/>
        <v>678.5</v>
      </c>
      <c r="G32" s="1">
        <f>+C32-(C$7+F32*C$8)</f>
        <v>-0.12375199125381187</v>
      </c>
      <c r="I32" s="20">
        <f>+G32</f>
        <v>-0.12375199125381187</v>
      </c>
      <c r="O32" s="1">
        <f>+C$11+C$12*F32</f>
        <v>-5.0662486551000009E-2</v>
      </c>
      <c r="Q32" s="37">
        <f>+C32-15018.5</f>
        <v>38386.376799999998</v>
      </c>
    </row>
    <row r="33" spans="1:17" x14ac:dyDescent="0.2">
      <c r="A33" s="26" t="s">
        <v>65</v>
      </c>
      <c r="B33" s="25" t="s">
        <v>35</v>
      </c>
      <c r="C33" s="26">
        <v>55960.843000000001</v>
      </c>
      <c r="D33" s="26">
        <v>5.0000000000000001E-4</v>
      </c>
      <c r="E33" s="1">
        <f t="shared" ref="E33:E40" si="5">+(C33-C$7)/C$8</f>
        <v>5239.1369228441135</v>
      </c>
      <c r="F33" s="1">
        <f t="shared" ref="F33:F40" si="6">ROUND(2*E33,0)/2</f>
        <v>5239</v>
      </c>
      <c r="G33" s="1">
        <f t="shared" ref="G33:G40" si="7">+C33-(C$7+F33*C$8)</f>
        <v>7.6733408735890407E-2</v>
      </c>
      <c r="I33" s="20">
        <f t="shared" ref="I33:I40" si="8">+G33</f>
        <v>7.6733408735890407E-2</v>
      </c>
      <c r="O33" s="1">
        <f t="shared" ref="O33:O40" si="9">+C$11+C$12*F33</f>
        <v>2.1356294488567566E-2</v>
      </c>
      <c r="Q33" s="37">
        <f t="shared" ref="Q33:Q40" si="10">+C33-15018.5</f>
        <v>40942.343000000001</v>
      </c>
    </row>
    <row r="34" spans="1:17" x14ac:dyDescent="0.2">
      <c r="A34" s="27" t="s">
        <v>66</v>
      </c>
      <c r="B34" s="25" t="s">
        <v>39</v>
      </c>
      <c r="C34" s="26">
        <v>56009.3413</v>
      </c>
      <c r="D34" s="26">
        <v>1.6899999999999998E-2</v>
      </c>
      <c r="E34" s="1">
        <f t="shared" si="5"/>
        <v>5325.6771310824934</v>
      </c>
      <c r="F34" s="1">
        <f t="shared" si="6"/>
        <v>5325.5</v>
      </c>
      <c r="G34" s="1">
        <f t="shared" si="7"/>
        <v>9.9266647870535962E-2</v>
      </c>
      <c r="I34" s="20">
        <f t="shared" si="8"/>
        <v>9.9266647870535962E-2</v>
      </c>
      <c r="O34" s="1">
        <f t="shared" si="9"/>
        <v>2.272229044513429E-2</v>
      </c>
      <c r="Q34" s="37">
        <f t="shared" si="10"/>
        <v>40990.8413</v>
      </c>
    </row>
    <row r="35" spans="1:17" x14ac:dyDescent="0.2">
      <c r="A35" s="27" t="s">
        <v>66</v>
      </c>
      <c r="B35" s="25" t="s">
        <v>35</v>
      </c>
      <c r="C35" s="26">
        <v>56009.6175</v>
      </c>
      <c r="D35" s="26">
        <v>3.3E-3</v>
      </c>
      <c r="E35" s="1">
        <f t="shared" si="5"/>
        <v>5326.1699814610729</v>
      </c>
      <c r="F35" s="1">
        <f t="shared" si="6"/>
        <v>5326</v>
      </c>
      <c r="G35" s="1">
        <f t="shared" si="7"/>
        <v>9.5259903588157613E-2</v>
      </c>
      <c r="I35" s="20">
        <f t="shared" si="8"/>
        <v>9.5259903588157613E-2</v>
      </c>
      <c r="O35" s="1">
        <f t="shared" si="9"/>
        <v>2.2730186375519081E-2</v>
      </c>
      <c r="Q35" s="37">
        <f t="shared" si="10"/>
        <v>40991.1175</v>
      </c>
    </row>
    <row r="36" spans="1:17" x14ac:dyDescent="0.2">
      <c r="A36" s="26" t="s">
        <v>65</v>
      </c>
      <c r="B36" s="25" t="s">
        <v>35</v>
      </c>
      <c r="C36" s="26">
        <v>56042.697899999999</v>
      </c>
      <c r="D36" s="26">
        <v>5.0000000000000001E-4</v>
      </c>
      <c r="E36" s="1">
        <f t="shared" si="5"/>
        <v>5385.1985392581273</v>
      </c>
      <c r="F36" s="1">
        <f t="shared" si="6"/>
        <v>5385</v>
      </c>
      <c r="G36" s="1">
        <f t="shared" si="7"/>
        <v>0.11126407826668583</v>
      </c>
      <c r="I36" s="20">
        <f t="shared" si="8"/>
        <v>0.11126407826668583</v>
      </c>
      <c r="O36" s="1">
        <f t="shared" si="9"/>
        <v>2.3661906160922973E-2</v>
      </c>
      <c r="Q36" s="37">
        <f t="shared" si="10"/>
        <v>41024.197899999999</v>
      </c>
    </row>
    <row r="37" spans="1:17" x14ac:dyDescent="0.2">
      <c r="A37" s="28" t="s">
        <v>67</v>
      </c>
      <c r="B37" s="29" t="s">
        <v>35</v>
      </c>
      <c r="C37" s="28">
        <v>56387.493199999997</v>
      </c>
      <c r="D37" s="28">
        <v>8.3999999999999995E-3</v>
      </c>
      <c r="E37" s="1">
        <f t="shared" si="5"/>
        <v>6000.450147285932</v>
      </c>
      <c r="F37" s="1">
        <f t="shared" si="6"/>
        <v>6000.5</v>
      </c>
      <c r="G37" s="1">
        <f t="shared" si="7"/>
        <v>-2.7938133403949905E-2</v>
      </c>
      <c r="I37" s="20">
        <f t="shared" si="8"/>
        <v>-2.7938133403949905E-2</v>
      </c>
      <c r="O37" s="1">
        <f t="shared" si="9"/>
        <v>3.3381796464585702E-2</v>
      </c>
      <c r="Q37" s="37">
        <f t="shared" si="10"/>
        <v>41368.993199999997</v>
      </c>
    </row>
    <row r="38" spans="1:17" x14ac:dyDescent="0.2">
      <c r="A38" s="28" t="s">
        <v>67</v>
      </c>
      <c r="B38" s="29" t="s">
        <v>35</v>
      </c>
      <c r="C38" s="28">
        <v>56761.435400000002</v>
      </c>
      <c r="D38" s="28">
        <v>4.1999999999999997E-3</v>
      </c>
      <c r="E38" s="1">
        <f t="shared" si="5"/>
        <v>6667.711388548385</v>
      </c>
      <c r="F38" s="1">
        <f t="shared" si="6"/>
        <v>6667.5</v>
      </c>
      <c r="G38" s="1">
        <f t="shared" si="7"/>
        <v>0.11846499384409981</v>
      </c>
      <c r="I38" s="20">
        <f t="shared" si="8"/>
        <v>0.11846499384409981</v>
      </c>
      <c r="O38" s="1">
        <f t="shared" si="9"/>
        <v>4.391496759788064E-2</v>
      </c>
      <c r="Q38" s="37">
        <f t="shared" si="10"/>
        <v>41742.935400000002</v>
      </c>
    </row>
    <row r="39" spans="1:17" x14ac:dyDescent="0.2">
      <c r="A39" s="30" t="s">
        <v>68</v>
      </c>
      <c r="B39" s="31" t="s">
        <v>39</v>
      </c>
      <c r="C39" s="32">
        <v>57797.224800000004</v>
      </c>
      <c r="D39" s="33" t="s">
        <v>69</v>
      </c>
      <c r="E39" s="1">
        <f t="shared" si="5"/>
        <v>8515.970613451278</v>
      </c>
      <c r="F39" s="1">
        <f t="shared" si="6"/>
        <v>8516</v>
      </c>
      <c r="G39" s="1">
        <f t="shared" si="7"/>
        <v>-1.6468618283397518E-2</v>
      </c>
      <c r="I39" s="20">
        <f t="shared" si="8"/>
        <v>-1.6468618283397518E-2</v>
      </c>
      <c r="O39" s="1">
        <f t="shared" si="9"/>
        <v>7.3106222230407913E-2</v>
      </c>
      <c r="Q39" s="37">
        <f t="shared" si="10"/>
        <v>42778.724800000004</v>
      </c>
    </row>
    <row r="40" spans="1:17" x14ac:dyDescent="0.2">
      <c r="A40" s="34" t="s">
        <v>70</v>
      </c>
      <c r="B40" s="35" t="s">
        <v>39</v>
      </c>
      <c r="C40" s="36">
        <v>58925.247000000003</v>
      </c>
      <c r="D40" s="36" t="s">
        <v>69</v>
      </c>
      <c r="E40" s="1">
        <f t="shared" si="5"/>
        <v>10528.80974565832</v>
      </c>
      <c r="F40" s="1">
        <f t="shared" si="6"/>
        <v>10529</v>
      </c>
      <c r="G40" s="1">
        <f t="shared" si="7"/>
        <v>-0.10662109933764441</v>
      </c>
      <c r="I40" s="20">
        <f t="shared" si="8"/>
        <v>-0.10662109933764441</v>
      </c>
      <c r="O40" s="1">
        <f t="shared" si="9"/>
        <v>0.1048952379595274</v>
      </c>
      <c r="Q40" s="37">
        <f t="shared" si="10"/>
        <v>43906.747000000003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Inactive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2024-03-09T04:28:45Z</dcterms:created>
  <dcterms:modified xsi:type="dcterms:W3CDTF">2024-03-09T04:28:45Z</dcterms:modified>
</cp:coreProperties>
</file>