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2C37A5-5D5D-4E1C-912B-7FB534C9589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E15" i="1" s="1"/>
  <c r="C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G21" i="1"/>
  <c r="E21" i="1"/>
  <c r="F21" i="1"/>
  <c r="Q21" i="1"/>
  <c r="C17" i="1"/>
  <c r="H21" i="1"/>
  <c r="C12" i="1"/>
  <c r="C16" i="1" l="1"/>
  <c r="D18" i="1" s="1"/>
  <c r="C11" i="1"/>
  <c r="O23" i="1" l="1"/>
  <c r="O22" i="1"/>
  <c r="O21" i="1"/>
  <c r="O24" i="1"/>
  <c r="C15" i="1"/>
  <c r="C18" i="1" l="1"/>
  <c r="E16" i="1"/>
  <c r="E17" i="1" s="1"/>
</calcChain>
</file>

<file path=xl/sharedStrings.xml><?xml version="1.0" encoding="utf-8"?>
<sst xmlns="http://schemas.openxmlformats.org/spreadsheetml/2006/main" count="56" uniqueCount="48">
  <si>
    <t>V0366 UMa / GSC 4172-1213</t>
  </si>
  <si>
    <t>System Type:</t>
  </si>
  <si>
    <t>EW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</si>
  <si>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</si>
  <si>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</si>
  <si>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</si>
  <si>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</si>
  <si>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</si>
  <si>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</si>
  <si>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</si>
  <si>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</si>
  <si>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</si>
  <si>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</si>
  <si>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</si>
  <si>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</si>
  <si>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</si>
  <si>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</si>
  <si>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</si>
  <si>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</si>
  <si>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</si>
  <si>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</si>
  <si>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</si>
  <si>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</si>
  <si>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</si>
  <si>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</si>
  <si>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</si>
  <si>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</si>
  <si>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</si>
  <si>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</si>
  <si>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</si>
  <si>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</si>
  <si>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</si>
  <si>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</si>
  <si>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</si>
  <si>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</si>
  <si>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</si>
  <si>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</si>
  <si>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</si>
  <si>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</si>
  <si>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</si>
  <si>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</si>
  <si>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</si>
  <si>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</si>
  <si>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</si>
  <si>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6029</t>
  </si>
  <si>
    <t>I</t>
  </si>
  <si>
    <t>OEJV 0211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</si>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</sst>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0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9" fillId="0" borderId="0" applyFill="0" applyBorder="0" applyProtection="0">
      <alignment vertical="top"/>
    </xf>
    <xf numFmtId="164" fontId="9" fillId="0" borderId="0" applyFill="0" applyBorder="0" applyProtection="0">
      <alignment vertical="top"/>
    </xf>
    <xf numFmtId="0" fontId="9" fillId="0" borderId="0" applyFill="0" applyBorder="0" applyProtection="0">
      <alignment vertical="top"/>
    </xf>
    <xf numFmtId="2" fontId="9" fillId="0" borderId="0" applyFill="0" applyBorder="0" applyProtection="0">
      <alignment vertical="top"/>
    </xf>
    <xf numFmtId="0" fontId="9" fillId="0" borderId="0"/>
  </cellStyleXfs>
  <cellXfs count="3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8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 UMa - O-C Diagr.</a:t>
            </a:r>
          </a:p>
        </c:rich>
      </c:tx>
      <c:layout>
        <c:manualLayout>
          <c:xMode val="edge"/>
          <c:yMode val="edge"/>
          <c:x val="0.3551266121452500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9678799436846"/>
          <c:y val="0.15615678670796782"/>
          <c:w val="0.81525570076400178"/>
          <c:h val="0.627629204007156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10088</c:v>
                </c:pt>
                <c:pt idx="2">
                  <c:v>10223</c:v>
                </c:pt>
                <c:pt idx="3">
                  <c:v>13798</c:v>
                </c:pt>
              </c:numCache>
            </c:numRef>
          </c:xVal>
          <c:yVal>
            <c:numRef>
              <c:f>Active!$H$21:$H$240</c:f>
              <c:numCache>
                <c:formatCode>General</c:formatCode>
                <c:ptCount val="22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E-4DCC-9A2C-7BA89D92712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10088</c:v>
                </c:pt>
                <c:pt idx="2">
                  <c:v>10223</c:v>
                </c:pt>
                <c:pt idx="3">
                  <c:v>13798</c:v>
                </c:pt>
              </c:numCache>
            </c:numRef>
          </c:xVal>
          <c:yVal>
            <c:numRef>
              <c:f>Active!$I$21:$I$240</c:f>
              <c:numCache>
                <c:formatCode>General</c:formatCode>
                <c:ptCount val="220"/>
                <c:pt idx="1">
                  <c:v>-5.6280000004335307E-2</c:v>
                </c:pt>
                <c:pt idx="2">
                  <c:v>-5.843000000459142E-2</c:v>
                </c:pt>
                <c:pt idx="3">
                  <c:v>-8.1849999827682041E-2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E-4DCC-9A2C-7BA89D92712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10088</c:v>
                </c:pt>
                <c:pt idx="2">
                  <c:v>10223</c:v>
                </c:pt>
                <c:pt idx="3">
                  <c:v>13798</c:v>
                </c:pt>
              </c:numCache>
            </c:numRef>
          </c:xVal>
          <c:yVal>
            <c:numRef>
              <c:f>Active!$J$21:$J$240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DE-4DCC-9A2C-7BA89D92712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10088</c:v>
                </c:pt>
                <c:pt idx="2">
                  <c:v>10223</c:v>
                </c:pt>
                <c:pt idx="3">
                  <c:v>13798</c:v>
                </c:pt>
              </c:numCache>
            </c:numRef>
          </c:xVal>
          <c:yVal>
            <c:numRef>
              <c:f>Active!$K$21:$K$240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DE-4DCC-9A2C-7BA89D92712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10088</c:v>
                </c:pt>
                <c:pt idx="2">
                  <c:v>10223</c:v>
                </c:pt>
                <c:pt idx="3">
                  <c:v>13798</c:v>
                </c:pt>
              </c:numCache>
            </c:numRef>
          </c:xVal>
          <c:yVal>
            <c:numRef>
              <c:f>Active!$L$21:$L$240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DE-4DCC-9A2C-7BA89D9271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10088</c:v>
                </c:pt>
                <c:pt idx="2">
                  <c:v>10223</c:v>
                </c:pt>
                <c:pt idx="3">
                  <c:v>13798</c:v>
                </c:pt>
              </c:numCache>
            </c:numRef>
          </c:xVal>
          <c:yVal>
            <c:numRef>
              <c:f>Active!$M$21:$M$240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DE-4DCC-9A2C-7BA89D9271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10088</c:v>
                </c:pt>
                <c:pt idx="2">
                  <c:v>10223</c:v>
                </c:pt>
                <c:pt idx="3">
                  <c:v>13798</c:v>
                </c:pt>
              </c:numCache>
            </c:numRef>
          </c:xVal>
          <c:yVal>
            <c:numRef>
              <c:f>Active!$N$21:$N$240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DE-4DCC-9A2C-7BA89D9271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10088</c:v>
                </c:pt>
                <c:pt idx="2">
                  <c:v>10223</c:v>
                </c:pt>
                <c:pt idx="3">
                  <c:v>13798</c:v>
                </c:pt>
              </c:numCache>
            </c:numRef>
          </c:xVal>
          <c:yVal>
            <c:numRef>
              <c:f>Active!$O$21:$O$240</c:f>
              <c:numCache>
                <c:formatCode>General</c:formatCode>
                <c:ptCount val="220"/>
                <c:pt idx="0">
                  <c:v>6.9329034149200053E-4</c:v>
                </c:pt>
                <c:pt idx="1">
                  <c:v>-5.8261030518445098E-2</c:v>
                </c:pt>
                <c:pt idx="2">
                  <c:v>-5.904997117230032E-2</c:v>
                </c:pt>
                <c:pt idx="3">
                  <c:v>-7.9942288487355351E-2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DE-4DCC-9A2C-7BA89D92712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Active!$F$21:$F$240</c:f>
              <c:numCache>
                <c:formatCode>General</c:formatCode>
                <c:ptCount val="220"/>
                <c:pt idx="0">
                  <c:v>0</c:v>
                </c:pt>
                <c:pt idx="1">
                  <c:v>10088</c:v>
                </c:pt>
                <c:pt idx="2">
                  <c:v>10223</c:v>
                </c:pt>
                <c:pt idx="3">
                  <c:v>13798</c:v>
                </c:pt>
              </c:numCache>
            </c:numRef>
          </c:xVal>
          <c:yVal>
            <c:numRef>
              <c:f>Active!$R$21:$R$240</c:f>
              <c:numCache>
                <c:formatCode>General</c:formatCode>
                <c:ptCount val="2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DE-4DCC-9A2C-7BA89D92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92264"/>
        <c:axId val="1"/>
      </c:scatterChart>
      <c:valAx>
        <c:axId val="606492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492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76390042626542"/>
          <c:y val="0.91591875339906836"/>
          <c:w val="0.7251119093025705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1FD262-CC3D-4A94-9136-30B1CC1B4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s="3" customFormat="1" ht="12.75" customHeight="1" x14ac:dyDescent="0.2">
      <c r="A2" s="3" t="s">
        <v>1</v>
      </c>
      <c r="B2" s="3" t="s">
        <v>2</v>
      </c>
      <c r="C2" s="4"/>
      <c r="D2" s="4"/>
    </row>
    <row r="3" spans="1:7" s="3" customFormat="1" ht="12.75" customHeight="1" x14ac:dyDescent="0.2"/>
    <row r="4" spans="1:7" s="3" customFormat="1" ht="12.75" customHeight="1" x14ac:dyDescent="0.2">
      <c r="A4" s="5" t="s">
        <v>3</v>
      </c>
      <c r="C4" s="6" t="s">
        <v>4</v>
      </c>
      <c r="D4" s="7" t="s">
        <v>4</v>
      </c>
    </row>
    <row r="5" spans="1:7" s="3" customFormat="1" ht="12.75" customHeight="1" x14ac:dyDescent="0.2"/>
    <row r="6" spans="1:7" s="3" customFormat="1" ht="12.75" customHeight="1" x14ac:dyDescent="0.2">
      <c r="A6" s="5" t="s">
        <v>5</v>
      </c>
    </row>
    <row r="7" spans="1:7" s="3" customFormat="1" ht="12.75" customHeight="1" x14ac:dyDescent="0.2">
      <c r="A7" s="3" t="s">
        <v>6</v>
      </c>
      <c r="C7" s="30">
        <v>51403.675000000003</v>
      </c>
      <c r="D7" s="9" t="s">
        <v>7</v>
      </c>
    </row>
    <row r="8" spans="1:7" s="3" customFormat="1" ht="12.75" customHeight="1" x14ac:dyDescent="0.2">
      <c r="A8" s="3" t="s">
        <v>8</v>
      </c>
      <c r="C8" s="30">
        <v>0.45730999999999999</v>
      </c>
      <c r="D8" s="9" t="s">
        <v>7</v>
      </c>
    </row>
    <row r="9" spans="1:7" s="3" customFormat="1" ht="12.75" customHeight="1" x14ac:dyDescent="0.2">
      <c r="A9" s="10" t="s">
        <v>9</v>
      </c>
      <c r="C9" s="11">
        <v>-9.5</v>
      </c>
      <c r="D9" s="3" t="s">
        <v>10</v>
      </c>
    </row>
    <row r="10" spans="1:7" s="3" customFormat="1" ht="12.75" customHeight="1" x14ac:dyDescent="0.2">
      <c r="C10" s="12" t="s">
        <v>11</v>
      </c>
      <c r="D10" s="12" t="s">
        <v>12</v>
      </c>
    </row>
    <row r="11" spans="1:7" s="3" customFormat="1" ht="12.75" customHeight="1" x14ac:dyDescent="0.2">
      <c r="A11" s="3" t="s">
        <v>13</v>
      </c>
      <c r="C11" s="13">
        <f ca="1">INTERCEPT(INDIRECT($G$11):G992,INDIRECT($F$11):F992)</f>
        <v>6.9329034149200053E-4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75" customHeight="1" x14ac:dyDescent="0.2">
      <c r="A12" s="3" t="s">
        <v>14</v>
      </c>
      <c r="C12" s="13">
        <f ca="1">SLOPE(INDIRECT($G$11):G992,INDIRECT($F$11):F992)</f>
        <v>-5.8440048433720357E-6</v>
      </c>
      <c r="D12" s="4"/>
    </row>
    <row r="13" spans="1:7" s="3" customFormat="1" ht="12.75" customHeight="1" x14ac:dyDescent="0.2">
      <c r="A13" s="3" t="s">
        <v>15</v>
      </c>
      <c r="C13" s="4" t="s">
        <v>16</v>
      </c>
      <c r="D13" s="15" t="s">
        <v>17</v>
      </c>
      <c r="E13" s="11">
        <v>1</v>
      </c>
    </row>
    <row r="14" spans="1:7" s="3" customFormat="1" ht="12.75" customHeight="1" x14ac:dyDescent="0.2">
      <c r="D14" s="15" t="s">
        <v>18</v>
      </c>
      <c r="E14" s="13">
        <f ca="1">NOW()+15018.5+$C$9/24</f>
        <v>60378.738799652776</v>
      </c>
    </row>
    <row r="15" spans="1:7" s="3" customFormat="1" ht="12.75" customHeight="1" x14ac:dyDescent="0.2">
      <c r="A15" s="5" t="s">
        <v>19</v>
      </c>
      <c r="C15" s="16">
        <f ca="1">(C7+C11)+(C8+C12)*INT(MAX(F21:F3533))</f>
        <v>57713.558437711516</v>
      </c>
      <c r="D15" s="15" t="s">
        <v>20</v>
      </c>
      <c r="E15" s="13">
        <f ca="1">ROUND(2*(E14-$C$7)/$C$8,0)/2+E13</f>
        <v>19627</v>
      </c>
    </row>
    <row r="16" spans="1:7" s="3" customFormat="1" ht="12.75" customHeight="1" x14ac:dyDescent="0.2">
      <c r="A16" s="5" t="s">
        <v>21</v>
      </c>
      <c r="C16" s="16">
        <f ca="1">+C8+C12</f>
        <v>0.45730415599515661</v>
      </c>
      <c r="D16" s="15" t="s">
        <v>22</v>
      </c>
      <c r="E16" s="13">
        <f ca="1">ROUND(2*(E14-$C$15)/$C$16,0)/2+E13</f>
        <v>5829</v>
      </c>
    </row>
    <row r="17" spans="1:18" s="3" customFormat="1" ht="12.75" customHeight="1" x14ac:dyDescent="0.2">
      <c r="A17" s="15" t="s">
        <v>23</v>
      </c>
      <c r="C17" s="3">
        <f>COUNT(C21:C2191)</f>
        <v>4</v>
      </c>
      <c r="D17" s="15" t="s">
        <v>24</v>
      </c>
      <c r="E17" s="17">
        <f ca="1">+$C$15+$C$16*E16-15018.5-$C$9/24</f>
        <v>45361.080196340619</v>
      </c>
    </row>
    <row r="18" spans="1:18" s="3" customFormat="1" ht="12.75" customHeight="1" x14ac:dyDescent="0.2">
      <c r="A18" s="5" t="s">
        <v>25</v>
      </c>
      <c r="C18" s="18">
        <f ca="1">+C15</f>
        <v>57713.558437711516</v>
      </c>
      <c r="D18" s="19">
        <f ca="1">+C16</f>
        <v>0.45730415599515661</v>
      </c>
      <c r="E18" s="20" t="s">
        <v>26</v>
      </c>
    </row>
    <row r="19" spans="1:18" s="3" customFormat="1" ht="12.75" customHeight="1" x14ac:dyDescent="0.2">
      <c r="A19" s="15" t="s">
        <v>27</v>
      </c>
      <c r="E19" s="21">
        <v>21</v>
      </c>
    </row>
    <row r="20" spans="1:18" s="3" customFormat="1" ht="12.75" customHeight="1" x14ac:dyDescent="0.2">
      <c r="A20" s="12" t="s">
        <v>28</v>
      </c>
      <c r="B20" s="12" t="s">
        <v>29</v>
      </c>
      <c r="C20" s="12" t="s">
        <v>30</v>
      </c>
      <c r="D20" s="12" t="s">
        <v>31</v>
      </c>
      <c r="E20" s="12" t="s">
        <v>32</v>
      </c>
      <c r="F20" s="12" t="s">
        <v>33</v>
      </c>
      <c r="G20" s="12" t="s">
        <v>34</v>
      </c>
      <c r="H20" s="22" t="s">
        <v>7</v>
      </c>
      <c r="I20" s="22" t="s">
        <v>47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2" t="s">
        <v>42</v>
      </c>
      <c r="R20" s="23" t="s">
        <v>43</v>
      </c>
    </row>
    <row r="21" spans="1:18" s="3" customFormat="1" ht="12.75" customHeight="1" x14ac:dyDescent="0.2">
      <c r="A21" s="3" t="s">
        <v>7</v>
      </c>
      <c r="C21" s="8">
        <f>C7</f>
        <v>51403.675000000003</v>
      </c>
      <c r="D21" s="8" t="s">
        <v>16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6.9329034149200053E-4</v>
      </c>
      <c r="Q21" s="24">
        <f>+C21-15018.5</f>
        <v>36385.175000000003</v>
      </c>
    </row>
    <row r="22" spans="1:18" s="3" customFormat="1" ht="12.75" customHeight="1" x14ac:dyDescent="0.2">
      <c r="A22" s="25" t="s">
        <v>44</v>
      </c>
      <c r="B22" s="26" t="s">
        <v>45</v>
      </c>
      <c r="C22" s="25">
        <v>56016.962</v>
      </c>
      <c r="D22" s="25">
        <v>3.0000000000000001E-3</v>
      </c>
      <c r="E22" s="3">
        <f>+(C22-C$7)/C$8</f>
        <v>10087.876932496549</v>
      </c>
      <c r="F22" s="3">
        <f>ROUND(2*E22,0)/2</f>
        <v>10088</v>
      </c>
      <c r="G22" s="3">
        <f>+C22-(C$7+F22*C$8)</f>
        <v>-5.6280000004335307E-2</v>
      </c>
      <c r="I22" s="3">
        <f>+G22</f>
        <v>-5.6280000004335307E-2</v>
      </c>
      <c r="O22" s="3">
        <f ca="1">+C$11+C$12*$F22</f>
        <v>-5.8261030518445098E-2</v>
      </c>
      <c r="Q22" s="24">
        <f>+C22-15018.5</f>
        <v>40998.462</v>
      </c>
    </row>
    <row r="23" spans="1:18" s="3" customFormat="1" ht="12.75" customHeight="1" x14ac:dyDescent="0.2">
      <c r="A23" s="25" t="s">
        <v>44</v>
      </c>
      <c r="B23" s="26" t="s">
        <v>45</v>
      </c>
      <c r="C23" s="25">
        <v>56078.6967</v>
      </c>
      <c r="D23" s="25">
        <v>6.9999999999999999E-4</v>
      </c>
      <c r="E23" s="3">
        <f>+(C23-C$7)/C$8</f>
        <v>10222.872231090501</v>
      </c>
      <c r="F23" s="3">
        <f>ROUND(2*E23,0)/2</f>
        <v>10223</v>
      </c>
      <c r="G23" s="3">
        <f>+C23-(C$7+F23*C$8)</f>
        <v>-5.843000000459142E-2</v>
      </c>
      <c r="I23" s="3">
        <f>+G23</f>
        <v>-5.843000000459142E-2</v>
      </c>
      <c r="O23" s="3">
        <f ca="1">+C$11+C$12*$F23</f>
        <v>-5.904997117230032E-2</v>
      </c>
      <c r="Q23" s="24">
        <f>+C23-15018.5</f>
        <v>41060.1967</v>
      </c>
    </row>
    <row r="24" spans="1:18" s="3" customFormat="1" ht="12.75" customHeight="1" x14ac:dyDescent="0.2">
      <c r="A24" s="27" t="s">
        <v>46</v>
      </c>
      <c r="B24" s="28" t="s">
        <v>45</v>
      </c>
      <c r="C24" s="29">
        <v>57713.556530000176</v>
      </c>
      <c r="D24" s="29">
        <v>5.0000000000000001E-4</v>
      </c>
      <c r="E24" s="3">
        <f>+(C24-C$7)/C$8</f>
        <v>13797.821018565466</v>
      </c>
      <c r="F24" s="3">
        <f>ROUND(2*E24,0)/2</f>
        <v>13798</v>
      </c>
      <c r="G24" s="3">
        <f>+C24-(C$7+F24*C$8)</f>
        <v>-8.1849999827682041E-2</v>
      </c>
      <c r="I24" s="3">
        <f>+G24</f>
        <v>-8.1849999827682041E-2</v>
      </c>
      <c r="O24" s="3">
        <f ca="1">+C$11+C$12*$F24</f>
        <v>-7.9942288487355351E-2</v>
      </c>
      <c r="Q24" s="24">
        <f>+C24-15018.5</f>
        <v>42695.056530000176</v>
      </c>
    </row>
    <row r="25" spans="1:18" s="3" customFormat="1" ht="12.75" customHeight="1" x14ac:dyDescent="0.2">
      <c r="Q25" s="24"/>
    </row>
    <row r="26" spans="1:18" s="3" customFormat="1" ht="12.75" customHeight="1" x14ac:dyDescent="0.2"/>
    <row r="27" spans="1:18" s="3" customFormat="1" ht="12.75" customHeight="1" x14ac:dyDescent="0.2"/>
    <row r="28" spans="1:18" s="3" customFormat="1" ht="12.75" customHeight="1" x14ac:dyDescent="0.2"/>
    <row r="29" spans="1:18" s="3" customFormat="1" ht="12.75" customHeight="1" x14ac:dyDescent="0.2"/>
    <row r="30" spans="1:18" s="3" customFormat="1" ht="12.75" customHeight="1" x14ac:dyDescent="0.2"/>
    <row r="31" spans="1:18" s="3" customFormat="1" ht="12.75" customHeight="1" x14ac:dyDescent="0.2"/>
    <row r="32" spans="1:18" s="3" customFormat="1" ht="12.75" customHeight="1" x14ac:dyDescent="0.2"/>
    <row r="33" s="3" customFormat="1" ht="12.7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2024-03-09T04:43:52Z</dcterms:created>
  <dcterms:modified xsi:type="dcterms:W3CDTF">2024-03-09T04:43:52Z</dcterms:modified>
</cp:coreProperties>
</file>