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D59D50-3AA0-494E-91E1-944F02FC4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Q24" i="1"/>
  <c r="Q22" i="1"/>
  <c r="Q23" i="1"/>
  <c r="E22" i="1"/>
  <c r="F22" i="1" s="1"/>
  <c r="G22" i="1" s="1"/>
  <c r="I22" i="1" s="1"/>
  <c r="E24" i="1"/>
  <c r="F24" i="1"/>
  <c r="G24" i="1"/>
  <c r="K24" i="1" s="1"/>
  <c r="E21" i="1"/>
  <c r="F21" i="1" s="1"/>
  <c r="G21" i="1" s="1"/>
  <c r="I21" i="1" s="1"/>
  <c r="F16" i="1"/>
  <c r="F17" i="1" s="1"/>
  <c r="C17" i="1"/>
  <c r="Q21" i="1"/>
  <c r="E23" i="1"/>
  <c r="F23" i="1"/>
  <c r="G23" i="1"/>
  <c r="I23" i="1"/>
  <c r="C12" i="1"/>
  <c r="C11" i="1"/>
  <c r="O26" i="1" l="1"/>
  <c r="O25" i="1"/>
  <c r="C15" i="1"/>
  <c r="O23" i="1"/>
  <c r="O21" i="1"/>
  <c r="O24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<sst xmlns="http://schemas.openxmlformats.org/spreadsheetml/2006/main" count="65" uniqueCount="55">
  <si>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</si>
  <si>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</si>
  <si>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</si>
  <si>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</si>
  <si>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</si>
  <si>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</si>
  <si>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</si>
  <si>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</si>
  <si>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</si>
  <si>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</si>
  <si>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</si>
  <si>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</si>
  <si>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</si>
  <si>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</si>
  <si>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</si>
  <si>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</si>
  <si>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</si>
  <si>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</si>
  <si>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</si>
  <si>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</si>
  <si>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</si>
  <si>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</si>
  <si>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</si>
  <si>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</si>
  <si>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</si>
  <si>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</si>
  <si>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</si>
  <si>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</si>
  <si>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</si>
  <si>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</si>
  <si>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</si>
  <si>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</si>
  <si>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</si>
  <si>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</si>
  <si>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</si>
  <si>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</si>
  <si>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</si>
  <si>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</si>
  <si>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</si>
  <si>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</si>
  <si>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</si>
  <si>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</si>
  <si>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G4386-0604</t>
  </si>
  <si>
    <t>2015K</t>
  </si>
  <si>
    <t>E?</t>
  </si>
  <si>
    <t>OEJV 179</t>
  </si>
  <si>
    <t>OEJV 0172</t>
  </si>
  <si>
    <t>I</t>
  </si>
  <si>
    <t>OEJV 0179</t>
  </si>
  <si>
    <t>UMa</t>
  </si>
  <si>
    <t>RHN 2016</t>
  </si>
  <si>
    <t>V0453_UMa / G4386-0604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</si>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</sst>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V0453_UMa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CD-4D96-B86C-7B4D39888F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-0.22780000000057044</c:v>
                </c:pt>
                <c:pt idx="2">
                  <c:v>-0.23439999999391148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CD-4D96-B86C-7B4D39888F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CD-4D96-B86C-7B4D39888F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-0.2760000000052969</c:v>
                </c:pt>
                <c:pt idx="4">
                  <c:v>0.21964999999909196</c:v>
                </c:pt>
                <c:pt idx="5">
                  <c:v>0.21835000000282889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CD-4D96-B86C-7B4D39888F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CD-4D96-B86C-7B4D39888F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CD-4D96-B86C-7B4D39888F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CD-4D96-B86C-7B4D39888F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-0.18302768356904905</c:v>
                </c:pt>
                <c:pt idx="1">
                  <c:v>-5.542336226498043E-2</c:v>
                </c:pt>
                <c:pt idx="2">
                  <c:v>-5.527063417245609E-2</c:v>
                </c:pt>
                <c:pt idx="3">
                  <c:v>-3.442324954288653E-2</c:v>
                </c:pt>
                <c:pt idx="4">
                  <c:v>1.3705190613839513E-2</c:v>
                </c:pt>
                <c:pt idx="5">
                  <c:v>1.4239738937674634E-2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CD-4D96-B86C-7B4D39888F9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CD-4D96-B86C-7B4D39888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2168"/>
        <c:axId val="1"/>
      </c:scatterChart>
      <c:valAx>
        <c:axId val="93490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AFBFC34-5A9C-1E71-76D7-6F42F9E85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6" customFormat="1" ht="20.25" x14ac:dyDescent="0.2">
      <c r="A1" s="37" t="s">
        <v>51</v>
      </c>
      <c r="F1" s="38" t="s">
        <v>42</v>
      </c>
      <c r="G1" s="39" t="s">
        <v>43</v>
      </c>
      <c r="H1" s="39"/>
      <c r="I1" s="40" t="s">
        <v>42</v>
      </c>
      <c r="J1" s="41" t="s">
        <v>42</v>
      </c>
      <c r="K1" s="3">
        <v>9.4754924099999993</v>
      </c>
      <c r="L1" s="3">
        <v>70.012816000000001</v>
      </c>
      <c r="M1" s="42">
        <v>53082.080999999998</v>
      </c>
      <c r="N1" s="43">
        <v>1.1989000000000001</v>
      </c>
      <c r="O1" s="3"/>
    </row>
    <row r="2" spans="1:15" s="6" customFormat="1" x14ac:dyDescent="0.2">
      <c r="A2" s="6" t="s">
        <v>23</v>
      </c>
      <c r="B2" s="6" t="s">
        <v>44</v>
      </c>
      <c r="C2" s="7"/>
      <c r="D2" s="8" t="s">
        <v>49</v>
      </c>
    </row>
    <row r="3" spans="1:15" s="6" customFormat="1" ht="13.5" thickBot="1" x14ac:dyDescent="0.25"/>
    <row r="4" spans="1:15" s="6" customFormat="1" ht="14.25" thickTop="1" thickBot="1" x14ac:dyDescent="0.25">
      <c r="A4" s="9" t="s">
        <v>0</v>
      </c>
      <c r="C4" s="10" t="s">
        <v>37</v>
      </c>
      <c r="D4" s="11" t="s">
        <v>37</v>
      </c>
    </row>
    <row r="5" spans="1:15" s="6" customFormat="1" ht="13.5" thickTop="1" x14ac:dyDescent="0.2">
      <c r="A5" s="12" t="s">
        <v>28</v>
      </c>
      <c r="C5" s="13">
        <v>-9.5</v>
      </c>
      <c r="D5" s="6" t="s">
        <v>29</v>
      </c>
    </row>
    <row r="6" spans="1:15" s="6" customFormat="1" x14ac:dyDescent="0.2">
      <c r="A6" s="9" t="s">
        <v>1</v>
      </c>
    </row>
    <row r="7" spans="1:15" s="6" customFormat="1" x14ac:dyDescent="0.2">
      <c r="A7" s="6" t="s">
        <v>2</v>
      </c>
      <c r="C7" s="44">
        <v>53082.080999999998</v>
      </c>
      <c r="D7" s="3" t="s">
        <v>45</v>
      </c>
    </row>
    <row r="8" spans="1:15" s="6" customFormat="1" x14ac:dyDescent="0.2">
      <c r="A8" s="6" t="s">
        <v>3</v>
      </c>
      <c r="C8" s="44">
        <v>1.1989000000000001</v>
      </c>
      <c r="D8" s="15" t="s">
        <v>45</v>
      </c>
    </row>
    <row r="9" spans="1:15" s="6" customFormat="1" x14ac:dyDescent="0.2">
      <c r="A9" s="16" t="s">
        <v>32</v>
      </c>
      <c r="C9" s="17">
        <v>21</v>
      </c>
      <c r="D9" s="18" t="s">
        <v>53</v>
      </c>
      <c r="E9" s="19" t="s">
        <v>54</v>
      </c>
    </row>
    <row r="10" spans="1:15" s="6" customFormat="1" ht="13.5" thickBot="1" x14ac:dyDescent="0.25">
      <c r="C10" s="20" t="s">
        <v>19</v>
      </c>
      <c r="D10" s="20" t="s">
        <v>20</v>
      </c>
    </row>
    <row r="11" spans="1:15" s="6" customFormat="1" x14ac:dyDescent="0.2">
      <c r="A11" s="6" t="s">
        <v>15</v>
      </c>
      <c r="C11" s="19">
        <f ca="1">INTERCEPT(INDIRECT($E$9):G992,INDIRECT($D$9):F992)</f>
        <v>-0.18302768356904905</v>
      </c>
      <c r="D11" s="8"/>
    </row>
    <row r="12" spans="1:15" s="6" customFormat="1" x14ac:dyDescent="0.2">
      <c r="A12" s="6" t="s">
        <v>16</v>
      </c>
      <c r="C12" s="19">
        <f ca="1">SLOPE(INDIRECT($E$9):G992,INDIRECT($D$9):F992)</f>
        <v>3.8182023131079783E-5</v>
      </c>
      <c r="D12" s="8"/>
    </row>
    <row r="13" spans="1:15" s="6" customFormat="1" x14ac:dyDescent="0.2">
      <c r="A13" s="6" t="s">
        <v>18</v>
      </c>
      <c r="C13" s="8" t="s">
        <v>13</v>
      </c>
    </row>
    <row r="14" spans="1:15" s="6" customFormat="1" x14ac:dyDescent="0.2"/>
    <row r="15" spans="1:15" s="6" customFormat="1" x14ac:dyDescent="0.2">
      <c r="A15" s="21" t="s">
        <v>17</v>
      </c>
      <c r="C15" s="22">
        <f ca="1">(C7+C11)+(C8+C12)*INT(MAX(F21:F3533))</f>
        <v>59275.612620647924</v>
      </c>
      <c r="E15" s="23" t="s">
        <v>34</v>
      </c>
      <c r="F15" s="24">
        <v>1</v>
      </c>
    </row>
    <row r="16" spans="1:15" s="6" customFormat="1" x14ac:dyDescent="0.2">
      <c r="A16" s="9" t="s">
        <v>4</v>
      </c>
      <c r="C16" s="25">
        <f ca="1">+C8+C12</f>
        <v>1.1989381820231311</v>
      </c>
      <c r="E16" s="23" t="s">
        <v>30</v>
      </c>
      <c r="F16" s="25">
        <f ca="1">NOW()+15018.5+$C$5/24</f>
        <v>60378.753663773146</v>
      </c>
    </row>
    <row r="17" spans="1:18" s="6" customFormat="1" ht="13.5" thickBot="1" x14ac:dyDescent="0.25">
      <c r="A17" s="23" t="s">
        <v>27</v>
      </c>
      <c r="C17" s="6">
        <f>COUNT(C21:C2191)</f>
        <v>6</v>
      </c>
      <c r="E17" s="23" t="s">
        <v>35</v>
      </c>
      <c r="F17" s="26">
        <f ca="1">ROUND(2*(F16-$C$7)/$C$8,0)/2+F15</f>
        <v>6087</v>
      </c>
    </row>
    <row r="18" spans="1:18" s="6" customFormat="1" ht="14.25" thickTop="1" thickBot="1" x14ac:dyDescent="0.25">
      <c r="A18" s="9" t="s">
        <v>5</v>
      </c>
      <c r="C18" s="27">
        <f ca="1">+C15</f>
        <v>59275.612620647924</v>
      </c>
      <c r="D18" s="28">
        <f ca="1">+C16</f>
        <v>1.1989381820231311</v>
      </c>
      <c r="E18" s="23" t="s">
        <v>36</v>
      </c>
      <c r="F18" s="19">
        <f ca="1">ROUND(2*(F16-$C$15)/$C$16,0)/2+F15</f>
        <v>921</v>
      </c>
    </row>
    <row r="19" spans="1:18" s="6" customFormat="1" ht="13.5" thickTop="1" x14ac:dyDescent="0.2">
      <c r="E19" s="23" t="s">
        <v>31</v>
      </c>
      <c r="F19" s="29">
        <f ca="1">+$C$15+$C$16*F18-15018.5-$C$5/24</f>
        <v>45361.730519624565</v>
      </c>
    </row>
    <row r="20" spans="1:18" s="6" customFormat="1" ht="13.5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30" t="s">
        <v>38</v>
      </c>
      <c r="I20" s="30" t="s">
        <v>39</v>
      </c>
      <c r="J20" s="30" t="s">
        <v>40</v>
      </c>
      <c r="K20" s="30" t="s">
        <v>41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0" t="s">
        <v>14</v>
      </c>
      <c r="R20" s="32" t="s">
        <v>33</v>
      </c>
    </row>
    <row r="21" spans="1:18" s="6" customFormat="1" x14ac:dyDescent="0.2">
      <c r="A21" s="6" t="s">
        <v>48</v>
      </c>
      <c r="C21" s="14">
        <v>53082.080999999998</v>
      </c>
      <c r="D21" s="14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-0.18302768356904905</v>
      </c>
      <c r="Q21" s="33">
        <f>+C21-15018.5</f>
        <v>38063.580999999998</v>
      </c>
    </row>
    <row r="22" spans="1:18" s="6" customFormat="1" x14ac:dyDescent="0.2">
      <c r="A22" s="34" t="s">
        <v>46</v>
      </c>
      <c r="B22" s="35" t="s">
        <v>47</v>
      </c>
      <c r="C22" s="36">
        <v>57088.576999999997</v>
      </c>
      <c r="D22" s="36">
        <v>0.03</v>
      </c>
      <c r="E22" s="6">
        <f>+(C22-C$7)/C$8</f>
        <v>3341.809992493118</v>
      </c>
      <c r="F22" s="6">
        <f>ROUND(2*E22,0)/2</f>
        <v>3342</v>
      </c>
      <c r="G22" s="6">
        <f>+C22-(C$7+F22*C$8)</f>
        <v>-0.22780000000057044</v>
      </c>
      <c r="I22" s="6">
        <f>+G22</f>
        <v>-0.22780000000057044</v>
      </c>
      <c r="O22" s="6">
        <f ca="1">+C$11+C$12*$F22</f>
        <v>-5.542336226498043E-2</v>
      </c>
      <c r="Q22" s="33">
        <f>+C22-15018.5</f>
        <v>42070.076999999997</v>
      </c>
    </row>
    <row r="23" spans="1:18" s="6" customFormat="1" x14ac:dyDescent="0.2">
      <c r="A23" s="34" t="s">
        <v>46</v>
      </c>
      <c r="B23" s="35" t="s">
        <v>47</v>
      </c>
      <c r="C23" s="36">
        <v>57093.366000000002</v>
      </c>
      <c r="D23" s="36">
        <v>0.01</v>
      </c>
      <c r="E23" s="6">
        <f>+(C23-C$7)/C$8</f>
        <v>3345.8044874468292</v>
      </c>
      <c r="F23" s="6">
        <f>ROUND(2*E23,0)/2</f>
        <v>3346</v>
      </c>
      <c r="G23" s="6">
        <f>+C23-(C$7+F23*C$8)</f>
        <v>-0.23439999999391148</v>
      </c>
      <c r="I23" s="6">
        <f>+G23</f>
        <v>-0.23439999999391148</v>
      </c>
      <c r="O23" s="6">
        <f ca="1">+C$11+C$12*$F23</f>
        <v>-5.527063417245609E-2</v>
      </c>
      <c r="Q23" s="33">
        <f>+C23-15018.5</f>
        <v>42074.866000000002</v>
      </c>
    </row>
    <row r="24" spans="1:18" s="6" customFormat="1" x14ac:dyDescent="0.2">
      <c r="A24" s="9" t="s">
        <v>50</v>
      </c>
      <c r="C24" s="14">
        <v>57747.923799999997</v>
      </c>
      <c r="D24" s="14">
        <v>2.0000000000000001E-4</v>
      </c>
      <c r="E24" s="6">
        <f>+(C24-C$7)/C$8</f>
        <v>3891.769788973224</v>
      </c>
      <c r="F24" s="6">
        <f>ROUND(2*E24,0)/2</f>
        <v>3892</v>
      </c>
      <c r="G24" s="6">
        <f>+C24-(C$7+F24*C$8)</f>
        <v>-0.2760000000052969</v>
      </c>
      <c r="K24" s="6">
        <f>+G24</f>
        <v>-0.2760000000052969</v>
      </c>
      <c r="O24" s="6">
        <f ca="1">+C$11+C$12*$F24</f>
        <v>-3.442324954288653E-2</v>
      </c>
      <c r="Q24" s="33">
        <f>+C24-15018.5</f>
        <v>42729.423799999997</v>
      </c>
    </row>
    <row r="25" spans="1:18" s="6" customFormat="1" x14ac:dyDescent="0.2">
      <c r="A25" s="4" t="s">
        <v>52</v>
      </c>
      <c r="B25" s="5" t="s">
        <v>47</v>
      </c>
      <c r="C25" s="45">
        <v>59259.632899999997</v>
      </c>
      <c r="D25" s="46">
        <v>4.3E-3</v>
      </c>
      <c r="E25" s="6">
        <f t="shared" ref="E25:E26" si="0">+(C25-C$7)/C$8</f>
        <v>5152.6832096088065</v>
      </c>
      <c r="F25" s="6">
        <f t="shared" ref="F25:F26" si="1">ROUND(2*E25,0)/2</f>
        <v>5152.5</v>
      </c>
      <c r="G25" s="6">
        <f t="shared" ref="G25:G26" si="2">+C25-(C$7+F25*C$8)</f>
        <v>0.21964999999909196</v>
      </c>
      <c r="K25" s="6">
        <f t="shared" ref="K25:K26" si="3">+G25</f>
        <v>0.21964999999909196</v>
      </c>
      <c r="O25" s="6">
        <f t="shared" ref="O25:O26" ca="1" si="4">+C$11+C$12*$F25</f>
        <v>1.3705190613839513E-2</v>
      </c>
      <c r="Q25" s="33">
        <f t="shared" ref="Q25:Q26" si="5">+C25-15018.5</f>
        <v>44241.132899999997</v>
      </c>
    </row>
    <row r="26" spans="1:18" s="6" customFormat="1" x14ac:dyDescent="0.2">
      <c r="A26" s="4" t="s">
        <v>52</v>
      </c>
      <c r="B26" s="5" t="s">
        <v>47</v>
      </c>
      <c r="C26" s="45">
        <v>59276.4162</v>
      </c>
      <c r="D26" s="46">
        <v>1.8E-3</v>
      </c>
      <c r="E26" s="6">
        <f t="shared" si="0"/>
        <v>5166.6821252815089</v>
      </c>
      <c r="F26" s="6">
        <f t="shared" si="1"/>
        <v>5166.5</v>
      </c>
      <c r="G26" s="6">
        <f t="shared" si="2"/>
        <v>0.21835000000282889</v>
      </c>
      <c r="K26" s="6">
        <f t="shared" si="3"/>
        <v>0.21835000000282889</v>
      </c>
      <c r="O26" s="6">
        <f t="shared" ca="1" si="4"/>
        <v>1.4239738937674634E-2</v>
      </c>
      <c r="Q26" s="33">
        <f t="shared" si="5"/>
        <v>44257.9162</v>
      </c>
    </row>
    <row r="27" spans="1:18" s="6" customFormat="1" x14ac:dyDescent="0.2">
      <c r="C27" s="14"/>
      <c r="D27" s="14"/>
      <c r="Q27" s="33"/>
    </row>
    <row r="28" spans="1:18" s="6" customFormat="1" x14ac:dyDescent="0.2">
      <c r="C28" s="14"/>
      <c r="D28" s="14"/>
      <c r="Q28" s="33"/>
    </row>
    <row r="29" spans="1:18" s="6" customFormat="1" x14ac:dyDescent="0.2">
      <c r="C29" s="14"/>
      <c r="D29" s="14"/>
      <c r="Q29" s="33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2024-03-09T05:05:16Z</dcterms:modified>
</cp:coreProperties>
</file>