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067E144-1FEC-42E6-9130-909ADC6545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1" i="1" l="1"/>
  <c r="F51" i="1" s="1"/>
  <c r="G51" i="1" s="1"/>
  <c r="K51" i="1" s="1"/>
  <c r="Q51" i="1"/>
  <c r="C7" i="1"/>
  <c r="C8" i="1"/>
  <c r="C9" i="1"/>
  <c r="D9" i="1"/>
  <c r="F16" i="1"/>
  <c r="F17" i="1" s="1"/>
  <c r="A21" i="1"/>
  <c r="C21" i="1"/>
  <c r="C17" i="1"/>
  <c r="E22" i="1"/>
  <c r="F22" i="1"/>
  <c r="Q22" i="1"/>
  <c r="Q23" i="1"/>
  <c r="Q24" i="1"/>
  <c r="Q25" i="1"/>
  <c r="E26" i="1"/>
  <c r="F26" i="1"/>
  <c r="Q26" i="1"/>
  <c r="Q27" i="1"/>
  <c r="E28" i="1"/>
  <c r="F28" i="1"/>
  <c r="Q28" i="1"/>
  <c r="Q29" i="1"/>
  <c r="E30" i="1"/>
  <c r="F30" i="1"/>
  <c r="G30" i="1"/>
  <c r="K30" i="1"/>
  <c r="Q30" i="1"/>
  <c r="Q31" i="1"/>
  <c r="E32" i="1"/>
  <c r="F32" i="1"/>
  <c r="Q32" i="1"/>
  <c r="E33" i="1"/>
  <c r="F33" i="1"/>
  <c r="G33" i="1"/>
  <c r="K33" i="1"/>
  <c r="Q33" i="1"/>
  <c r="E34" i="1"/>
  <c r="F34" i="1"/>
  <c r="G34" i="1"/>
  <c r="K34" i="1"/>
  <c r="Q34" i="1"/>
  <c r="Q35" i="1"/>
  <c r="E36" i="1"/>
  <c r="F36" i="1"/>
  <c r="Q36" i="1"/>
  <c r="E37" i="1"/>
  <c r="F37" i="1"/>
  <c r="G37" i="1"/>
  <c r="K37" i="1"/>
  <c r="Q37" i="1"/>
  <c r="E38" i="1"/>
  <c r="F38" i="1"/>
  <c r="G38" i="1"/>
  <c r="K38" i="1"/>
  <c r="Q38" i="1"/>
  <c r="Q39" i="1"/>
  <c r="E40" i="1"/>
  <c r="F40" i="1"/>
  <c r="G40" i="1"/>
  <c r="K40" i="1"/>
  <c r="Q40" i="1"/>
  <c r="E41" i="1"/>
  <c r="F41" i="1"/>
  <c r="G41" i="1"/>
  <c r="J41" i="1"/>
  <c r="Q41" i="1"/>
  <c r="E42" i="1"/>
  <c r="F42" i="1"/>
  <c r="G42" i="1"/>
  <c r="J42" i="1"/>
  <c r="Q42" i="1"/>
  <c r="E43" i="1"/>
  <c r="F43" i="1"/>
  <c r="G43" i="1"/>
  <c r="K43" i="1"/>
  <c r="Q43" i="1"/>
  <c r="E44" i="1"/>
  <c r="F44" i="1"/>
  <c r="G44" i="1"/>
  <c r="K44" i="1"/>
  <c r="Q44" i="1"/>
  <c r="E45" i="1"/>
  <c r="F45" i="1"/>
  <c r="G45" i="1"/>
  <c r="K45" i="1"/>
  <c r="Q45" i="1"/>
  <c r="E46" i="1"/>
  <c r="F46" i="1"/>
  <c r="G46" i="1"/>
  <c r="K46" i="1"/>
  <c r="Q46" i="1"/>
  <c r="E47" i="1"/>
  <c r="F47" i="1"/>
  <c r="G47" i="1"/>
  <c r="K47" i="1"/>
  <c r="Q47" i="1"/>
  <c r="E48" i="1"/>
  <c r="F48" i="1"/>
  <c r="G48" i="1"/>
  <c r="K48" i="1"/>
  <c r="Q48" i="1"/>
  <c r="E49" i="1"/>
  <c r="F49" i="1"/>
  <c r="G49" i="1"/>
  <c r="K49" i="1"/>
  <c r="Q49" i="1"/>
  <c r="E50" i="1"/>
  <c r="F50" i="1"/>
  <c r="G50" i="1"/>
  <c r="K50" i="1"/>
  <c r="Q50" i="1"/>
  <c r="A11" i="2"/>
  <c r="C11" i="2"/>
  <c r="E11" i="2"/>
  <c r="D11" i="2"/>
  <c r="G11" i="2"/>
  <c r="H11" i="2"/>
  <c r="B11" i="2"/>
  <c r="A12" i="2"/>
  <c r="D12" i="2"/>
  <c r="G12" i="2"/>
  <c r="C12" i="2"/>
  <c r="H12" i="2"/>
  <c r="B12" i="2"/>
  <c r="A13" i="2"/>
  <c r="D13" i="2"/>
  <c r="G13" i="2"/>
  <c r="C13" i="2"/>
  <c r="E13" i="2"/>
  <c r="H13" i="2"/>
  <c r="B13" i="2"/>
  <c r="A14" i="2"/>
  <c r="D14" i="2"/>
  <c r="G14" i="2"/>
  <c r="C14" i="2"/>
  <c r="H14" i="2"/>
  <c r="B14" i="2"/>
  <c r="A15" i="2"/>
  <c r="D15" i="2"/>
  <c r="G15" i="2"/>
  <c r="C15" i="2"/>
  <c r="E15" i="2"/>
  <c r="H15" i="2"/>
  <c r="B15" i="2"/>
  <c r="A16" i="2"/>
  <c r="B16" i="2"/>
  <c r="C16" i="2"/>
  <c r="D16" i="2"/>
  <c r="G16" i="2"/>
  <c r="H16" i="2"/>
  <c r="A17" i="2"/>
  <c r="B17" i="2"/>
  <c r="C17" i="2"/>
  <c r="E17" i="2"/>
  <c r="D17" i="2"/>
  <c r="G17" i="2"/>
  <c r="H17" i="2"/>
  <c r="A18" i="2"/>
  <c r="B18" i="2"/>
  <c r="C18" i="2"/>
  <c r="D18" i="2"/>
  <c r="G18" i="2"/>
  <c r="H18" i="2"/>
  <c r="A19" i="2"/>
  <c r="B19" i="2"/>
  <c r="C19" i="2"/>
  <c r="E19" i="2"/>
  <c r="D19" i="2"/>
  <c r="G19" i="2"/>
  <c r="H19" i="2"/>
  <c r="A20" i="2"/>
  <c r="D20" i="2"/>
  <c r="G20" i="2"/>
  <c r="C20" i="2"/>
  <c r="E20" i="2"/>
  <c r="H20" i="2"/>
  <c r="B20" i="2"/>
  <c r="A21" i="2"/>
  <c r="D21" i="2"/>
  <c r="G21" i="2"/>
  <c r="C21" i="2"/>
  <c r="E21" i="2"/>
  <c r="H21" i="2"/>
  <c r="B21" i="2"/>
  <c r="A22" i="2"/>
  <c r="D22" i="2"/>
  <c r="G22" i="2"/>
  <c r="C22" i="2"/>
  <c r="H22" i="2"/>
  <c r="B22" i="2"/>
  <c r="A23" i="2"/>
  <c r="D23" i="2"/>
  <c r="G23" i="2"/>
  <c r="C23" i="2"/>
  <c r="E23" i="2"/>
  <c r="H23" i="2"/>
  <c r="B23" i="2"/>
  <c r="A24" i="2"/>
  <c r="B24" i="2"/>
  <c r="C24" i="2"/>
  <c r="E24" i="2"/>
  <c r="D24" i="2"/>
  <c r="G24" i="2"/>
  <c r="H24" i="2"/>
  <c r="A25" i="2"/>
  <c r="B25" i="2"/>
  <c r="C25" i="2"/>
  <c r="E25" i="2"/>
  <c r="D25" i="2"/>
  <c r="G25" i="2"/>
  <c r="H25" i="2"/>
  <c r="A26" i="2"/>
  <c r="B26" i="2"/>
  <c r="C26" i="2"/>
  <c r="D26" i="2"/>
  <c r="G26" i="2"/>
  <c r="H26" i="2"/>
  <c r="A27" i="2"/>
  <c r="B27" i="2"/>
  <c r="C27" i="2"/>
  <c r="E27" i="2"/>
  <c r="D27" i="2"/>
  <c r="G27" i="2"/>
  <c r="H27" i="2"/>
  <c r="A28" i="2"/>
  <c r="D28" i="2"/>
  <c r="G28" i="2"/>
  <c r="C28" i="2"/>
  <c r="E28" i="2"/>
  <c r="H28" i="2"/>
  <c r="B28" i="2"/>
  <c r="A29" i="2"/>
  <c r="D29" i="2"/>
  <c r="G29" i="2"/>
  <c r="C29" i="2"/>
  <c r="E29" i="2"/>
  <c r="H29" i="2"/>
  <c r="B29" i="2"/>
  <c r="A30" i="2"/>
  <c r="D30" i="2"/>
  <c r="G30" i="2"/>
  <c r="C30" i="2"/>
  <c r="E30" i="2"/>
  <c r="H30" i="2"/>
  <c r="B30" i="2"/>
  <c r="A31" i="2"/>
  <c r="D31" i="2"/>
  <c r="G31" i="2"/>
  <c r="C31" i="2"/>
  <c r="E31" i="2"/>
  <c r="H31" i="2"/>
  <c r="B31" i="2"/>
  <c r="E14" i="2"/>
  <c r="G22" i="1"/>
  <c r="J22" i="1"/>
  <c r="Q21" i="1"/>
  <c r="E39" i="1"/>
  <c r="G36" i="1"/>
  <c r="K36" i="1"/>
  <c r="E35" i="1"/>
  <c r="F35" i="1"/>
  <c r="G35" i="1"/>
  <c r="K35" i="1"/>
  <c r="G32" i="1"/>
  <c r="K32" i="1"/>
  <c r="E31" i="1"/>
  <c r="G28" i="1"/>
  <c r="K28" i="1"/>
  <c r="E27" i="1"/>
  <c r="F27" i="1"/>
  <c r="G27" i="1"/>
  <c r="K27" i="1"/>
  <c r="E23" i="1"/>
  <c r="F23" i="1"/>
  <c r="G23" i="1"/>
  <c r="K23" i="1"/>
  <c r="E24" i="1"/>
  <c r="F24" i="1"/>
  <c r="G24" i="1"/>
  <c r="K24" i="1"/>
  <c r="E29" i="1"/>
  <c r="F29" i="1"/>
  <c r="G29" i="1"/>
  <c r="K29" i="1"/>
  <c r="G26" i="1"/>
  <c r="K26" i="1"/>
  <c r="E25" i="1"/>
  <c r="F25" i="1"/>
  <c r="G25" i="1"/>
  <c r="J25" i="1"/>
  <c r="E21" i="1"/>
  <c r="F21" i="1"/>
  <c r="G21" i="1"/>
  <c r="K21" i="1"/>
  <c r="E26" i="2"/>
  <c r="F39" i="1"/>
  <c r="G39" i="1"/>
  <c r="K39" i="1"/>
  <c r="E18" i="2"/>
  <c r="F31" i="1"/>
  <c r="G31" i="1"/>
  <c r="E16" i="2"/>
  <c r="E22" i="2"/>
  <c r="E12" i="2"/>
  <c r="K31" i="1"/>
  <c r="C11" i="1"/>
  <c r="C12" i="1"/>
  <c r="O51" i="1" l="1"/>
  <c r="C16" i="1"/>
  <c r="D18" i="1" s="1"/>
  <c r="O35" i="1"/>
  <c r="O38" i="1"/>
  <c r="O48" i="1"/>
  <c r="O49" i="1"/>
  <c r="O39" i="1"/>
  <c r="O42" i="1"/>
  <c r="O21" i="1"/>
  <c r="O32" i="1"/>
  <c r="O22" i="1"/>
  <c r="O33" i="1"/>
  <c r="O43" i="1"/>
  <c r="O46" i="1"/>
  <c r="O25" i="1"/>
  <c r="O24" i="1"/>
  <c r="O28" i="1"/>
  <c r="O47" i="1"/>
  <c r="O50" i="1"/>
  <c r="O29" i="1"/>
  <c r="C15" i="1"/>
  <c r="O23" i="1"/>
  <c r="O26" i="1"/>
  <c r="O36" i="1"/>
  <c r="O37" i="1"/>
  <c r="O31" i="1"/>
  <c r="O34" i="1"/>
  <c r="O45" i="1"/>
  <c r="O27" i="1"/>
  <c r="O30" i="1"/>
  <c r="O40" i="1"/>
  <c r="O41" i="1"/>
  <c r="O44" i="1"/>
  <c r="C18" i="1" l="1"/>
  <c r="F18" i="1"/>
  <c r="F19" i="1" s="1"/>
</calcChain>
</file>

<file path=xl/sharedStrings.xml><?xml version="1.0" encoding="utf-8"?>
<sst xmlns="http://schemas.openxmlformats.org/spreadsheetml/2006/main" count="308" uniqueCount="156">
  <si>
    <t>VW UMi / GSC 4638-0951</t>
  </si>
  <si>
    <t>UMi</t>
  </si>
  <si>
    <t>EW</t>
  </si>
  <si>
    <t>IBVS 5686 Eph.</t>
  </si>
  <si>
    <t>IBVS 5686</t>
  </si>
  <si>
    <t>G4638-0951_UMi.xls</t>
  </si>
  <si>
    <t>System Type: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</si>
  <si>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</si>
  <si>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</si>
  <si>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</si>
  <si>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</si>
  <si>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</si>
  <si>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</si>
  <si>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</si>
  <si>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</si>
  <si>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</si>
  <si>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</si>
  <si>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</si>
  <si>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</si>
  <si>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</si>
  <si>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</si>
  <si>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</si>
  <si>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</si>
  <si>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</si>
  <si>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</si>
  <si>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</si>
  <si>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</si>
  <si>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</si>
  <si>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</si>
  <si>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</si>
  <si>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</si>
  <si>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</si>
  <si>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</si>
  <si>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</si>
  <si>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</si>
  <si>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</si>
  <si>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</si>
  <si>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</si>
  <si>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</si>
  <si>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</si>
  <si>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</si>
  <si>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</si>
  <si>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</si>
  <si>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</si>
  <si>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</si>
  <si>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BAD?</t>
  </si>
  <si>
    <t>IBVS 6010</t>
  </si>
  <si>
    <t>II</t>
  </si>
  <si>
    <t>OEJV 0137</t>
  </si>
  <si>
    <t>I</t>
  </si>
  <si>
    <t>IBVS 6070</t>
  </si>
  <si>
    <t>OEJV 0160</t>
  </si>
  <si>
    <t>IBVS 6157</t>
  </si>
  <si>
    <t>IBVS 6149</t>
  </si>
  <si>
    <t>OEJV 0179</t>
  </si>
  <si>
    <t>IBVS 6244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</si>
  <si>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</si>
  <si>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</si>
  <si>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</si>
  <si>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</si>
  <si>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</si>
  <si>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</si>
  <si>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</si>
  <si>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</si>
  <si>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2455244.5921 </t>
  </si>
  <si>
    <t> 17.02.2010 02:12 </t>
  </si>
  <si>
    <t> -0.1406 </t>
  </si>
  <si>
    <t>C </t>
  </si>
  <si>
    <t>-I</t>
  </si>
  <si>
    <t> M.&amp; K.Rätz </t>
  </si>
  <si>
    <t>BAVM 220 </t>
  </si>
  <si>
    <t>2455627.6671 </t>
  </si>
  <si>
    <t> 07.03.2011 04:00 </t>
  </si>
  <si>
    <t>8605.5</t>
  </si>
  <si>
    <t> -0.0796 </t>
  </si>
  <si>
    <t>BAVM 231 </t>
  </si>
  <si>
    <t>2455628.39984 </t>
  </si>
  <si>
    <t> 07.03.2011 21:35 </t>
  </si>
  <si>
    <t>8607</t>
  </si>
  <si>
    <t> -0.08011 </t>
  </si>
  <si>
    <t> M.Vraš?ak </t>
  </si>
  <si>
    <t>OEJV 0160 </t>
  </si>
  <si>
    <t>2455676.56012 </t>
  </si>
  <si>
    <t> 25.04.2011 01:26 </t>
  </si>
  <si>
    <t>8705.5</t>
  </si>
  <si>
    <t> -0.07155 </t>
  </si>
  <si>
    <t> J.Polak </t>
  </si>
  <si>
    <t>2455683.40571 </t>
  </si>
  <si>
    <t> 01.05.2011 21:44 </t>
  </si>
  <si>
    <t>8719.5</t>
  </si>
  <si>
    <t> -0.06986 </t>
  </si>
  <si>
    <t>2455689.51523 </t>
  </si>
  <si>
    <t> 08.05.2011 00:21 </t>
  </si>
  <si>
    <t>8732</t>
  </si>
  <si>
    <t> -0.07097 </t>
  </si>
  <si>
    <t>R</t>
  </si>
  <si>
    <t>2455712.49459 </t>
  </si>
  <si>
    <t> 30.05.2011 23:52 </t>
  </si>
  <si>
    <t>8779</t>
  </si>
  <si>
    <t> -0.06756 </t>
  </si>
  <si>
    <t>2455712.49523 </t>
  </si>
  <si>
    <t> 30.05.2011 23:53 </t>
  </si>
  <si>
    <t> -0.06692 </t>
  </si>
  <si>
    <t>2455712.4958 </t>
  </si>
  <si>
    <t> -0.0663 </t>
  </si>
  <si>
    <t>2455796.59001 </t>
  </si>
  <si>
    <t> 23.08.2011 02:09 </t>
  </si>
  <si>
    <t>8951</t>
  </si>
  <si>
    <t> -0.05434 </t>
  </si>
  <si>
    <t>2455796.59473 </t>
  </si>
  <si>
    <t> 23.08.2011 02:16 </t>
  </si>
  <si>
    <t> -0.04962 </t>
  </si>
  <si>
    <t>2456045.45447 </t>
  </si>
  <si>
    <t> 27.04.2012 22:54 </t>
  </si>
  <si>
    <t>9460</t>
  </si>
  <si>
    <t> -0.01453 </t>
  </si>
  <si>
    <t>2456045.45494 </t>
  </si>
  <si>
    <t> 27.04.2012 22:55 </t>
  </si>
  <si>
    <t> -0.01406 </t>
  </si>
  <si>
    <t>2456045.45518 </t>
  </si>
  <si>
    <t> -0.01382 </t>
  </si>
  <si>
    <t>2456045.4562 </t>
  </si>
  <si>
    <t> 27.04.2012 22:56 </t>
  </si>
  <si>
    <t> -0.0128 </t>
  </si>
  <si>
    <t>B</t>
  </si>
  <si>
    <t>2456145.44081 </t>
  </si>
  <si>
    <t> 05.08.2012 22:34 </t>
  </si>
  <si>
    <t>9664.5</t>
  </si>
  <si>
    <t> 0.00199 </t>
  </si>
  <si>
    <t> M.Audejean </t>
  </si>
  <si>
    <t>2456155.46344 </t>
  </si>
  <si>
    <t> 15.08.2012 23:07 </t>
  </si>
  <si>
    <t>9685</t>
  </si>
  <si>
    <t> 0.00319 </t>
  </si>
  <si>
    <t>2456713.5686 </t>
  </si>
  <si>
    <t> 25.02.2014 01:38 </t>
  </si>
  <si>
    <t>10826.5</t>
  </si>
  <si>
    <t> 0.0861 </t>
  </si>
  <si>
    <t>BAVM 241 (=IBVS 6157) </t>
  </si>
  <si>
    <t>2456734.6014 </t>
  </si>
  <si>
    <t> 18.03.2014 02:26 </t>
  </si>
  <si>
    <t>10869.5</t>
  </si>
  <si>
    <t> 0.0983 </t>
  </si>
  <si>
    <t> F.Agerer </t>
  </si>
  <si>
    <t>BAVM 238 </t>
  </si>
  <si>
    <t>2455614.4671 </t>
  </si>
  <si>
    <t> 21.02.2011 23:12 </t>
  </si>
  <si>
    <t>8578.5</t>
  </si>
  <si>
    <t> -0.0806 </t>
  </si>
  <si>
    <t> M.Vraš?ák </t>
  </si>
  <si>
    <t>OEJV 0137 </t>
  </si>
  <si>
    <t>2455622.2899 </t>
  </si>
  <si>
    <t> 01.03.2011 18:57 </t>
  </si>
  <si>
    <t>8594.5</t>
  </si>
  <si>
    <t> -0.0794 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</si>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</sst>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/mm/yyyy;@"/>
    <numFmt numFmtId="167" formatCode="0.00000"/>
  </numFmts>
  <fonts count="16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  <fill>
      <patternFill patternType="solid">
        <fgColor indexed="44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65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 applyAlignment="1"/>
    <xf numFmtId="0" fontId="7" fillId="0" borderId="0" xfId="0" applyFont="1">
      <alignment vertical="top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5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6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165" fontId="8" fillId="0" borderId="0" xfId="0" applyNumberFormat="1" applyFont="1">
      <alignment vertical="top"/>
    </xf>
    <xf numFmtId="0" fontId="6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3" borderId="0" xfId="0" applyFont="1" applyFill="1" applyAlignment="1"/>
    <xf numFmtId="0" fontId="2" fillId="0" borderId="0" xfId="0" applyFo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0" fillId="4" borderId="0" xfId="0" applyFont="1" applyFill="1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7" applyFont="1"/>
    <xf numFmtId="0" fontId="2" fillId="0" borderId="0" xfId="7" applyFont="1" applyAlignment="1">
      <alignment horizontal="center"/>
    </xf>
    <xf numFmtId="0" fontId="2" fillId="0" borderId="0" xfId="7" applyFont="1" applyAlignment="1">
      <alignment horizontal="left"/>
    </xf>
    <xf numFmtId="0" fontId="11" fillId="0" borderId="0" xfId="7" applyFont="1" applyAlignment="1">
      <alignment horizontal="left"/>
    </xf>
    <xf numFmtId="0" fontId="11" fillId="0" borderId="0" xfId="7" applyFont="1" applyAlignment="1">
      <alignment horizontal="center" wrapText="1"/>
    </xf>
    <xf numFmtId="0" fontId="11" fillId="0" borderId="0" xfId="7" applyFont="1" applyAlignment="1">
      <alignment horizontal="left" wrapText="1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2" fillId="5" borderId="12" xfId="0" applyFont="1" applyFill="1" applyBorder="1" applyAlignment="1">
      <alignment horizontal="left" vertical="top" wrapText="1" indent="1"/>
    </xf>
    <xf numFmtId="0" fontId="2" fillId="5" borderId="12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right" vertical="top" wrapText="1"/>
    </xf>
    <xf numFmtId="0" fontId="13" fillId="5" borderId="12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67" fontId="15" fillId="0" borderId="0" xfId="0" applyNumberFormat="1" applyFont="1" applyAlignment="1">
      <alignment vertical="center" wrapText="1"/>
    </xf>
    <xf numFmtId="0" fontId="0" fillId="0" borderId="0" xfId="0" applyFont="1" applyFill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VW UMi - O-C Diagr.</a:t>
            </a:r>
          </a:p>
        </c:rich>
      </c:tx>
      <c:layout>
        <c:manualLayout>
          <c:xMode val="edge"/>
          <c:yMode val="edge"/>
          <c:x val="0.3759398496240601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30075187969924"/>
          <c:y val="0.15215278270396379"/>
          <c:w val="0.83157894736842108"/>
          <c:h val="0.6316332080111607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7820.5</c:v>
                </c:pt>
                <c:pt idx="2">
                  <c:v>8577</c:v>
                </c:pt>
                <c:pt idx="3">
                  <c:v>8593</c:v>
                </c:pt>
                <c:pt idx="4">
                  <c:v>8604</c:v>
                </c:pt>
                <c:pt idx="5">
                  <c:v>8605.5</c:v>
                </c:pt>
                <c:pt idx="6">
                  <c:v>8704</c:v>
                </c:pt>
                <c:pt idx="7">
                  <c:v>8718</c:v>
                </c:pt>
                <c:pt idx="8">
                  <c:v>8730.5</c:v>
                </c:pt>
                <c:pt idx="9">
                  <c:v>8777.5</c:v>
                </c:pt>
                <c:pt idx="10">
                  <c:v>8777.5</c:v>
                </c:pt>
                <c:pt idx="11">
                  <c:v>8777.5</c:v>
                </c:pt>
                <c:pt idx="12">
                  <c:v>8949.5</c:v>
                </c:pt>
                <c:pt idx="13">
                  <c:v>8949.5</c:v>
                </c:pt>
                <c:pt idx="14">
                  <c:v>9458.5</c:v>
                </c:pt>
                <c:pt idx="15">
                  <c:v>9458.5</c:v>
                </c:pt>
                <c:pt idx="16">
                  <c:v>9458.5</c:v>
                </c:pt>
                <c:pt idx="17">
                  <c:v>9458.5</c:v>
                </c:pt>
                <c:pt idx="18">
                  <c:v>9663</c:v>
                </c:pt>
                <c:pt idx="19">
                  <c:v>9683.5</c:v>
                </c:pt>
                <c:pt idx="20">
                  <c:v>10825</c:v>
                </c:pt>
                <c:pt idx="21">
                  <c:v>10868</c:v>
                </c:pt>
                <c:pt idx="22">
                  <c:v>12455</c:v>
                </c:pt>
                <c:pt idx="23">
                  <c:v>13078.5</c:v>
                </c:pt>
                <c:pt idx="24">
                  <c:v>13138</c:v>
                </c:pt>
                <c:pt idx="25">
                  <c:v>12966</c:v>
                </c:pt>
                <c:pt idx="26">
                  <c:v>12999</c:v>
                </c:pt>
                <c:pt idx="27">
                  <c:v>12999</c:v>
                </c:pt>
                <c:pt idx="28">
                  <c:v>13287.5</c:v>
                </c:pt>
                <c:pt idx="29">
                  <c:v>13621</c:v>
                </c:pt>
              </c:numCache>
            </c:numRef>
          </c:xVal>
          <c:yVal>
            <c:numRef>
              <c:f>Active!$H$21:$H$50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19-4C17-9116-9025BD509E9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7820.5</c:v>
                </c:pt>
                <c:pt idx="2">
                  <c:v>8577</c:v>
                </c:pt>
                <c:pt idx="3">
                  <c:v>8593</c:v>
                </c:pt>
                <c:pt idx="4">
                  <c:v>8604</c:v>
                </c:pt>
                <c:pt idx="5">
                  <c:v>8605.5</c:v>
                </c:pt>
                <c:pt idx="6">
                  <c:v>8704</c:v>
                </c:pt>
                <c:pt idx="7">
                  <c:v>8718</c:v>
                </c:pt>
                <c:pt idx="8">
                  <c:v>8730.5</c:v>
                </c:pt>
                <c:pt idx="9">
                  <c:v>8777.5</c:v>
                </c:pt>
                <c:pt idx="10">
                  <c:v>8777.5</c:v>
                </c:pt>
                <c:pt idx="11">
                  <c:v>8777.5</c:v>
                </c:pt>
                <c:pt idx="12">
                  <c:v>8949.5</c:v>
                </c:pt>
                <c:pt idx="13">
                  <c:v>8949.5</c:v>
                </c:pt>
                <c:pt idx="14">
                  <c:v>9458.5</c:v>
                </c:pt>
                <c:pt idx="15">
                  <c:v>9458.5</c:v>
                </c:pt>
                <c:pt idx="16">
                  <c:v>9458.5</c:v>
                </c:pt>
                <c:pt idx="17">
                  <c:v>9458.5</c:v>
                </c:pt>
                <c:pt idx="18">
                  <c:v>9663</c:v>
                </c:pt>
                <c:pt idx="19">
                  <c:v>9683.5</c:v>
                </c:pt>
                <c:pt idx="20">
                  <c:v>10825</c:v>
                </c:pt>
                <c:pt idx="21">
                  <c:v>10868</c:v>
                </c:pt>
                <c:pt idx="22">
                  <c:v>12455</c:v>
                </c:pt>
                <c:pt idx="23">
                  <c:v>13078.5</c:v>
                </c:pt>
                <c:pt idx="24">
                  <c:v>13138</c:v>
                </c:pt>
                <c:pt idx="25">
                  <c:v>12966</c:v>
                </c:pt>
                <c:pt idx="26">
                  <c:v>12999</c:v>
                </c:pt>
                <c:pt idx="27">
                  <c:v>12999</c:v>
                </c:pt>
                <c:pt idx="28">
                  <c:v>13287.5</c:v>
                </c:pt>
                <c:pt idx="29">
                  <c:v>13621</c:v>
                </c:pt>
              </c:numCache>
            </c:numRef>
          </c:xVal>
          <c:yVal>
            <c:numRef>
              <c:f>Active!$I$21:$I$50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19-4C17-9116-9025BD509E9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7820.5</c:v>
                </c:pt>
                <c:pt idx="2">
                  <c:v>8577</c:v>
                </c:pt>
                <c:pt idx="3">
                  <c:v>8593</c:v>
                </c:pt>
                <c:pt idx="4">
                  <c:v>8604</c:v>
                </c:pt>
                <c:pt idx="5">
                  <c:v>8605.5</c:v>
                </c:pt>
                <c:pt idx="6">
                  <c:v>8704</c:v>
                </c:pt>
                <c:pt idx="7">
                  <c:v>8718</c:v>
                </c:pt>
                <c:pt idx="8">
                  <c:v>8730.5</c:v>
                </c:pt>
                <c:pt idx="9">
                  <c:v>8777.5</c:v>
                </c:pt>
                <c:pt idx="10">
                  <c:v>8777.5</c:v>
                </c:pt>
                <c:pt idx="11">
                  <c:v>8777.5</c:v>
                </c:pt>
                <c:pt idx="12">
                  <c:v>8949.5</c:v>
                </c:pt>
                <c:pt idx="13">
                  <c:v>8949.5</c:v>
                </c:pt>
                <c:pt idx="14">
                  <c:v>9458.5</c:v>
                </c:pt>
                <c:pt idx="15">
                  <c:v>9458.5</c:v>
                </c:pt>
                <c:pt idx="16">
                  <c:v>9458.5</c:v>
                </c:pt>
                <c:pt idx="17">
                  <c:v>9458.5</c:v>
                </c:pt>
                <c:pt idx="18">
                  <c:v>9663</c:v>
                </c:pt>
                <c:pt idx="19">
                  <c:v>9683.5</c:v>
                </c:pt>
                <c:pt idx="20">
                  <c:v>10825</c:v>
                </c:pt>
                <c:pt idx="21">
                  <c:v>10868</c:v>
                </c:pt>
                <c:pt idx="22">
                  <c:v>12455</c:v>
                </c:pt>
                <c:pt idx="23">
                  <c:v>13078.5</c:v>
                </c:pt>
                <c:pt idx="24">
                  <c:v>13138</c:v>
                </c:pt>
                <c:pt idx="25">
                  <c:v>12966</c:v>
                </c:pt>
                <c:pt idx="26">
                  <c:v>12999</c:v>
                </c:pt>
                <c:pt idx="27">
                  <c:v>12999</c:v>
                </c:pt>
                <c:pt idx="28">
                  <c:v>13287.5</c:v>
                </c:pt>
                <c:pt idx="29">
                  <c:v>13621</c:v>
                </c:pt>
              </c:numCache>
            </c:numRef>
          </c:xVal>
          <c:yVal>
            <c:numRef>
              <c:f>Active!$J$21:$J$50</c:f>
              <c:numCache>
                <c:formatCode>General</c:formatCode>
                <c:ptCount val="30"/>
                <c:pt idx="1">
                  <c:v>0.59267499999987194</c:v>
                </c:pt>
                <c:pt idx="4">
                  <c:v>0.65369999999529682</c:v>
                </c:pt>
                <c:pt idx="20">
                  <c:v>0.81934999999066349</c:v>
                </c:pt>
                <c:pt idx="21">
                  <c:v>0.83159999999770662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19-4C17-9116-9025BD509E9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7820.5</c:v>
                </c:pt>
                <c:pt idx="2">
                  <c:v>8577</c:v>
                </c:pt>
                <c:pt idx="3">
                  <c:v>8593</c:v>
                </c:pt>
                <c:pt idx="4">
                  <c:v>8604</c:v>
                </c:pt>
                <c:pt idx="5">
                  <c:v>8605.5</c:v>
                </c:pt>
                <c:pt idx="6">
                  <c:v>8704</c:v>
                </c:pt>
                <c:pt idx="7">
                  <c:v>8718</c:v>
                </c:pt>
                <c:pt idx="8">
                  <c:v>8730.5</c:v>
                </c:pt>
                <c:pt idx="9">
                  <c:v>8777.5</c:v>
                </c:pt>
                <c:pt idx="10">
                  <c:v>8777.5</c:v>
                </c:pt>
                <c:pt idx="11">
                  <c:v>8777.5</c:v>
                </c:pt>
                <c:pt idx="12">
                  <c:v>8949.5</c:v>
                </c:pt>
                <c:pt idx="13">
                  <c:v>8949.5</c:v>
                </c:pt>
                <c:pt idx="14">
                  <c:v>9458.5</c:v>
                </c:pt>
                <c:pt idx="15">
                  <c:v>9458.5</c:v>
                </c:pt>
                <c:pt idx="16">
                  <c:v>9458.5</c:v>
                </c:pt>
                <c:pt idx="17">
                  <c:v>9458.5</c:v>
                </c:pt>
                <c:pt idx="18">
                  <c:v>9663</c:v>
                </c:pt>
                <c:pt idx="19">
                  <c:v>9683.5</c:v>
                </c:pt>
                <c:pt idx="20">
                  <c:v>10825</c:v>
                </c:pt>
                <c:pt idx="21">
                  <c:v>10868</c:v>
                </c:pt>
                <c:pt idx="22">
                  <c:v>12455</c:v>
                </c:pt>
                <c:pt idx="23">
                  <c:v>13078.5</c:v>
                </c:pt>
                <c:pt idx="24">
                  <c:v>13138</c:v>
                </c:pt>
                <c:pt idx="25">
                  <c:v>12966</c:v>
                </c:pt>
                <c:pt idx="26">
                  <c:v>12999</c:v>
                </c:pt>
                <c:pt idx="27">
                  <c:v>12999</c:v>
                </c:pt>
                <c:pt idx="28">
                  <c:v>13287.5</c:v>
                </c:pt>
                <c:pt idx="29">
                  <c:v>13621</c:v>
                </c:pt>
                <c:pt idx="30">
                  <c:v>16178</c:v>
                </c:pt>
              </c:numCache>
            </c:numRef>
          </c:xVal>
          <c:yVal>
            <c:numRef>
              <c:f>Active!$K$21:$K$500</c:f>
              <c:numCache>
                <c:formatCode>General</c:formatCode>
                <c:ptCount val="480"/>
                <c:pt idx="0">
                  <c:v>0</c:v>
                </c:pt>
                <c:pt idx="2">
                  <c:v>0.65268999999534572</c:v>
                </c:pt>
                <c:pt idx="3">
                  <c:v>0.6538799999980256</c:v>
                </c:pt>
                <c:pt idx="5">
                  <c:v>0.65316499999607913</c:v>
                </c:pt>
                <c:pt idx="6">
                  <c:v>0.66171999999642139</c:v>
                </c:pt>
                <c:pt idx="7">
                  <c:v>0.66340999999374617</c:v>
                </c:pt>
                <c:pt idx="8">
                  <c:v>0.662304999990738</c:v>
                </c:pt>
                <c:pt idx="9">
                  <c:v>0.66571499999554362</c:v>
                </c:pt>
                <c:pt idx="10">
                  <c:v>0.66635499999392778</c:v>
                </c:pt>
                <c:pt idx="11">
                  <c:v>0.6669249999904423</c:v>
                </c:pt>
                <c:pt idx="12">
                  <c:v>0.67893499999627238</c:v>
                </c:pt>
                <c:pt idx="13">
                  <c:v>0.68365499999345047</c:v>
                </c:pt>
                <c:pt idx="14">
                  <c:v>0.71874499999103136</c:v>
                </c:pt>
                <c:pt idx="15">
                  <c:v>0.71921499999734806</c:v>
                </c:pt>
                <c:pt idx="16">
                  <c:v>0.71945499999128515</c:v>
                </c:pt>
                <c:pt idx="17">
                  <c:v>0.72047499999462161</c:v>
                </c:pt>
                <c:pt idx="18">
                  <c:v>0.73525999999401392</c:v>
                </c:pt>
                <c:pt idx="19">
                  <c:v>0.73646499999449588</c:v>
                </c:pt>
                <c:pt idx="22">
                  <c:v>0.93282999999064486</c:v>
                </c:pt>
                <c:pt idx="23">
                  <c:v>0.9807749999963562</c:v>
                </c:pt>
                <c:pt idx="24">
                  <c:v>0.9816999999966356</c:v>
                </c:pt>
                <c:pt idx="25">
                  <c:v>0.96580000004178146</c:v>
                </c:pt>
                <c:pt idx="26">
                  <c:v>0.96996000018407358</c:v>
                </c:pt>
                <c:pt idx="27">
                  <c:v>0.96998999994684709</c:v>
                </c:pt>
                <c:pt idx="28">
                  <c:v>0.98744499981694389</c:v>
                </c:pt>
                <c:pt idx="29">
                  <c:v>1.0079200000473065</c:v>
                </c:pt>
                <c:pt idx="30">
                  <c:v>0.92639999999664724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19-4C17-9116-9025BD509E9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7820.5</c:v>
                </c:pt>
                <c:pt idx="2">
                  <c:v>8577</c:v>
                </c:pt>
                <c:pt idx="3">
                  <c:v>8593</c:v>
                </c:pt>
                <c:pt idx="4">
                  <c:v>8604</c:v>
                </c:pt>
                <c:pt idx="5">
                  <c:v>8605.5</c:v>
                </c:pt>
                <c:pt idx="6">
                  <c:v>8704</c:v>
                </c:pt>
                <c:pt idx="7">
                  <c:v>8718</c:v>
                </c:pt>
                <c:pt idx="8">
                  <c:v>8730.5</c:v>
                </c:pt>
                <c:pt idx="9">
                  <c:v>8777.5</c:v>
                </c:pt>
                <c:pt idx="10">
                  <c:v>8777.5</c:v>
                </c:pt>
                <c:pt idx="11">
                  <c:v>8777.5</c:v>
                </c:pt>
                <c:pt idx="12">
                  <c:v>8949.5</c:v>
                </c:pt>
                <c:pt idx="13">
                  <c:v>8949.5</c:v>
                </c:pt>
                <c:pt idx="14">
                  <c:v>9458.5</c:v>
                </c:pt>
                <c:pt idx="15">
                  <c:v>9458.5</c:v>
                </c:pt>
                <c:pt idx="16">
                  <c:v>9458.5</c:v>
                </c:pt>
                <c:pt idx="17">
                  <c:v>9458.5</c:v>
                </c:pt>
                <c:pt idx="18">
                  <c:v>9663</c:v>
                </c:pt>
                <c:pt idx="19">
                  <c:v>9683.5</c:v>
                </c:pt>
                <c:pt idx="20">
                  <c:v>10825</c:v>
                </c:pt>
                <c:pt idx="21">
                  <c:v>10868</c:v>
                </c:pt>
                <c:pt idx="22">
                  <c:v>12455</c:v>
                </c:pt>
                <c:pt idx="23">
                  <c:v>13078.5</c:v>
                </c:pt>
                <c:pt idx="24">
                  <c:v>13138</c:v>
                </c:pt>
                <c:pt idx="25">
                  <c:v>12966</c:v>
                </c:pt>
                <c:pt idx="26">
                  <c:v>12999</c:v>
                </c:pt>
                <c:pt idx="27">
                  <c:v>12999</c:v>
                </c:pt>
                <c:pt idx="28">
                  <c:v>13287.5</c:v>
                </c:pt>
                <c:pt idx="29">
                  <c:v>13621</c:v>
                </c:pt>
              </c:numCache>
            </c:numRef>
          </c:xVal>
          <c:yVal>
            <c:numRef>
              <c:f>Active!$L$21:$L$50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19-4C17-9116-9025BD509E9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7820.5</c:v>
                </c:pt>
                <c:pt idx="2">
                  <c:v>8577</c:v>
                </c:pt>
                <c:pt idx="3">
                  <c:v>8593</c:v>
                </c:pt>
                <c:pt idx="4">
                  <c:v>8604</c:v>
                </c:pt>
                <c:pt idx="5">
                  <c:v>8605.5</c:v>
                </c:pt>
                <c:pt idx="6">
                  <c:v>8704</c:v>
                </c:pt>
                <c:pt idx="7">
                  <c:v>8718</c:v>
                </c:pt>
                <c:pt idx="8">
                  <c:v>8730.5</c:v>
                </c:pt>
                <c:pt idx="9">
                  <c:v>8777.5</c:v>
                </c:pt>
                <c:pt idx="10">
                  <c:v>8777.5</c:v>
                </c:pt>
                <c:pt idx="11">
                  <c:v>8777.5</c:v>
                </c:pt>
                <c:pt idx="12">
                  <c:v>8949.5</c:v>
                </c:pt>
                <c:pt idx="13">
                  <c:v>8949.5</c:v>
                </c:pt>
                <c:pt idx="14">
                  <c:v>9458.5</c:v>
                </c:pt>
                <c:pt idx="15">
                  <c:v>9458.5</c:v>
                </c:pt>
                <c:pt idx="16">
                  <c:v>9458.5</c:v>
                </c:pt>
                <c:pt idx="17">
                  <c:v>9458.5</c:v>
                </c:pt>
                <c:pt idx="18">
                  <c:v>9663</c:v>
                </c:pt>
                <c:pt idx="19">
                  <c:v>9683.5</c:v>
                </c:pt>
                <c:pt idx="20">
                  <c:v>10825</c:v>
                </c:pt>
                <c:pt idx="21">
                  <c:v>10868</c:v>
                </c:pt>
                <c:pt idx="22">
                  <c:v>12455</c:v>
                </c:pt>
                <c:pt idx="23">
                  <c:v>13078.5</c:v>
                </c:pt>
                <c:pt idx="24">
                  <c:v>13138</c:v>
                </c:pt>
                <c:pt idx="25">
                  <c:v>12966</c:v>
                </c:pt>
                <c:pt idx="26">
                  <c:v>12999</c:v>
                </c:pt>
                <c:pt idx="27">
                  <c:v>12999</c:v>
                </c:pt>
                <c:pt idx="28">
                  <c:v>13287.5</c:v>
                </c:pt>
                <c:pt idx="29">
                  <c:v>13621</c:v>
                </c:pt>
              </c:numCache>
            </c:numRef>
          </c:xVal>
          <c:yVal>
            <c:numRef>
              <c:f>Active!$M$21:$M$50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119-4C17-9116-9025BD509E9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7820.5</c:v>
                </c:pt>
                <c:pt idx="2">
                  <c:v>8577</c:v>
                </c:pt>
                <c:pt idx="3">
                  <c:v>8593</c:v>
                </c:pt>
                <c:pt idx="4">
                  <c:v>8604</c:v>
                </c:pt>
                <c:pt idx="5">
                  <c:v>8605.5</c:v>
                </c:pt>
                <c:pt idx="6">
                  <c:v>8704</c:v>
                </c:pt>
                <c:pt idx="7">
                  <c:v>8718</c:v>
                </c:pt>
                <c:pt idx="8">
                  <c:v>8730.5</c:v>
                </c:pt>
                <c:pt idx="9">
                  <c:v>8777.5</c:v>
                </c:pt>
                <c:pt idx="10">
                  <c:v>8777.5</c:v>
                </c:pt>
                <c:pt idx="11">
                  <c:v>8777.5</c:v>
                </c:pt>
                <c:pt idx="12">
                  <c:v>8949.5</c:v>
                </c:pt>
                <c:pt idx="13">
                  <c:v>8949.5</c:v>
                </c:pt>
                <c:pt idx="14">
                  <c:v>9458.5</c:v>
                </c:pt>
                <c:pt idx="15">
                  <c:v>9458.5</c:v>
                </c:pt>
                <c:pt idx="16">
                  <c:v>9458.5</c:v>
                </c:pt>
                <c:pt idx="17">
                  <c:v>9458.5</c:v>
                </c:pt>
                <c:pt idx="18">
                  <c:v>9663</c:v>
                </c:pt>
                <c:pt idx="19">
                  <c:v>9683.5</c:v>
                </c:pt>
                <c:pt idx="20">
                  <c:v>10825</c:v>
                </c:pt>
                <c:pt idx="21">
                  <c:v>10868</c:v>
                </c:pt>
                <c:pt idx="22">
                  <c:v>12455</c:v>
                </c:pt>
                <c:pt idx="23">
                  <c:v>13078.5</c:v>
                </c:pt>
                <c:pt idx="24">
                  <c:v>13138</c:v>
                </c:pt>
                <c:pt idx="25">
                  <c:v>12966</c:v>
                </c:pt>
                <c:pt idx="26">
                  <c:v>12999</c:v>
                </c:pt>
                <c:pt idx="27">
                  <c:v>12999</c:v>
                </c:pt>
                <c:pt idx="28">
                  <c:v>13287.5</c:v>
                </c:pt>
                <c:pt idx="29">
                  <c:v>13621</c:v>
                </c:pt>
              </c:numCache>
            </c:numRef>
          </c:xVal>
          <c:yVal>
            <c:numRef>
              <c:f>Active!$N$21:$N$50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119-4C17-9116-9025BD509E9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7820.5</c:v>
                </c:pt>
                <c:pt idx="2">
                  <c:v>8577</c:v>
                </c:pt>
                <c:pt idx="3">
                  <c:v>8593</c:v>
                </c:pt>
                <c:pt idx="4">
                  <c:v>8604</c:v>
                </c:pt>
                <c:pt idx="5">
                  <c:v>8605.5</c:v>
                </c:pt>
                <c:pt idx="6">
                  <c:v>8704</c:v>
                </c:pt>
                <c:pt idx="7">
                  <c:v>8718</c:v>
                </c:pt>
                <c:pt idx="8">
                  <c:v>8730.5</c:v>
                </c:pt>
                <c:pt idx="9">
                  <c:v>8777.5</c:v>
                </c:pt>
                <c:pt idx="10">
                  <c:v>8777.5</c:v>
                </c:pt>
                <c:pt idx="11">
                  <c:v>8777.5</c:v>
                </c:pt>
                <c:pt idx="12">
                  <c:v>8949.5</c:v>
                </c:pt>
                <c:pt idx="13">
                  <c:v>8949.5</c:v>
                </c:pt>
                <c:pt idx="14">
                  <c:v>9458.5</c:v>
                </c:pt>
                <c:pt idx="15">
                  <c:v>9458.5</c:v>
                </c:pt>
                <c:pt idx="16">
                  <c:v>9458.5</c:v>
                </c:pt>
                <c:pt idx="17">
                  <c:v>9458.5</c:v>
                </c:pt>
                <c:pt idx="18">
                  <c:v>9663</c:v>
                </c:pt>
                <c:pt idx="19">
                  <c:v>9683.5</c:v>
                </c:pt>
                <c:pt idx="20">
                  <c:v>10825</c:v>
                </c:pt>
                <c:pt idx="21">
                  <c:v>10868</c:v>
                </c:pt>
                <c:pt idx="22">
                  <c:v>12455</c:v>
                </c:pt>
                <c:pt idx="23">
                  <c:v>13078.5</c:v>
                </c:pt>
                <c:pt idx="24">
                  <c:v>13138</c:v>
                </c:pt>
                <c:pt idx="25">
                  <c:v>12966</c:v>
                </c:pt>
                <c:pt idx="26">
                  <c:v>12999</c:v>
                </c:pt>
                <c:pt idx="27">
                  <c:v>12999</c:v>
                </c:pt>
                <c:pt idx="28">
                  <c:v>13287.5</c:v>
                </c:pt>
                <c:pt idx="29">
                  <c:v>13621</c:v>
                </c:pt>
              </c:numCache>
            </c:numRef>
          </c:xVal>
          <c:yVal>
            <c:numRef>
              <c:f>Active!$O$21:$O$50</c:f>
              <c:numCache>
                <c:formatCode>General</c:formatCode>
                <c:ptCount val="30"/>
                <c:pt idx="0">
                  <c:v>8.1738681309612371E-2</c:v>
                </c:pt>
                <c:pt idx="1">
                  <c:v>0.60141812369487235</c:v>
                </c:pt>
                <c:pt idx="2">
                  <c:v>0.65168824685380711</c:v>
                </c:pt>
                <c:pt idx="3">
                  <c:v>0.65275146161989173</c:v>
                </c:pt>
                <c:pt idx="4">
                  <c:v>0.65348242177157478</c:v>
                </c:pt>
                <c:pt idx="5">
                  <c:v>0.6535820981558953</c:v>
                </c:pt>
                <c:pt idx="6">
                  <c:v>0.66012751405960324</c:v>
                </c:pt>
                <c:pt idx="7">
                  <c:v>0.66105782697992721</c:v>
                </c:pt>
                <c:pt idx="8">
                  <c:v>0.66188846351593078</c:v>
                </c:pt>
                <c:pt idx="9">
                  <c:v>0.66501165689130404</c:v>
                </c:pt>
                <c:pt idx="10">
                  <c:v>0.66501165689130404</c:v>
                </c:pt>
                <c:pt idx="11">
                  <c:v>0.66501165689130404</c:v>
                </c:pt>
                <c:pt idx="12">
                  <c:v>0.67644121562671289</c:v>
                </c:pt>
                <c:pt idx="13">
                  <c:v>0.67644121562671289</c:v>
                </c:pt>
                <c:pt idx="14">
                  <c:v>0.71026473537277734</c:v>
                </c:pt>
                <c:pt idx="15">
                  <c:v>0.71026473537277734</c:v>
                </c:pt>
                <c:pt idx="16">
                  <c:v>0.71026473537277734</c:v>
                </c:pt>
                <c:pt idx="17">
                  <c:v>0.71026473537277734</c:v>
                </c:pt>
                <c:pt idx="18">
                  <c:v>0.72385394910179546</c:v>
                </c:pt>
                <c:pt idx="19">
                  <c:v>0.72521619302084128</c:v>
                </c:pt>
                <c:pt idx="20">
                  <c:v>0.80106992148868528</c:v>
                </c:pt>
                <c:pt idx="21">
                  <c:v>0.80392731117253746</c:v>
                </c:pt>
                <c:pt idx="22">
                  <c:v>0.90938492578354801</c:v>
                </c:pt>
                <c:pt idx="23">
                  <c:v>0.95081707619940503</c:v>
                </c:pt>
                <c:pt idx="24">
                  <c:v>0.95477090611078186</c:v>
                </c:pt>
                <c:pt idx="25">
                  <c:v>0.94334134737537312</c:v>
                </c:pt>
                <c:pt idx="26">
                  <c:v>0.9455342278304224</c:v>
                </c:pt>
                <c:pt idx="27">
                  <c:v>0.9455342278304224</c:v>
                </c:pt>
                <c:pt idx="28">
                  <c:v>0.96470531908138435</c:v>
                </c:pt>
                <c:pt idx="29">
                  <c:v>0.98686670186195902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119-4C17-9116-9025BD509E9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7820.5</c:v>
                </c:pt>
                <c:pt idx="2">
                  <c:v>8577</c:v>
                </c:pt>
                <c:pt idx="3">
                  <c:v>8593</c:v>
                </c:pt>
                <c:pt idx="4">
                  <c:v>8604</c:v>
                </c:pt>
                <c:pt idx="5">
                  <c:v>8605.5</c:v>
                </c:pt>
                <c:pt idx="6">
                  <c:v>8704</c:v>
                </c:pt>
                <c:pt idx="7">
                  <c:v>8718</c:v>
                </c:pt>
                <c:pt idx="8">
                  <c:v>8730.5</c:v>
                </c:pt>
                <c:pt idx="9">
                  <c:v>8777.5</c:v>
                </c:pt>
                <c:pt idx="10">
                  <c:v>8777.5</c:v>
                </c:pt>
                <c:pt idx="11">
                  <c:v>8777.5</c:v>
                </c:pt>
                <c:pt idx="12">
                  <c:v>8949.5</c:v>
                </c:pt>
                <c:pt idx="13">
                  <c:v>8949.5</c:v>
                </c:pt>
                <c:pt idx="14">
                  <c:v>9458.5</c:v>
                </c:pt>
                <c:pt idx="15">
                  <c:v>9458.5</c:v>
                </c:pt>
                <c:pt idx="16">
                  <c:v>9458.5</c:v>
                </c:pt>
                <c:pt idx="17">
                  <c:v>9458.5</c:v>
                </c:pt>
                <c:pt idx="18">
                  <c:v>9663</c:v>
                </c:pt>
                <c:pt idx="19">
                  <c:v>9683.5</c:v>
                </c:pt>
                <c:pt idx="20">
                  <c:v>10825</c:v>
                </c:pt>
                <c:pt idx="21">
                  <c:v>10868</c:v>
                </c:pt>
                <c:pt idx="22">
                  <c:v>12455</c:v>
                </c:pt>
                <c:pt idx="23">
                  <c:v>13078.5</c:v>
                </c:pt>
                <c:pt idx="24">
                  <c:v>13138</c:v>
                </c:pt>
                <c:pt idx="25">
                  <c:v>12966</c:v>
                </c:pt>
                <c:pt idx="26">
                  <c:v>12999</c:v>
                </c:pt>
                <c:pt idx="27">
                  <c:v>12999</c:v>
                </c:pt>
                <c:pt idx="28">
                  <c:v>13287.5</c:v>
                </c:pt>
                <c:pt idx="29">
                  <c:v>13621</c:v>
                </c:pt>
              </c:numCache>
            </c:numRef>
          </c:xVal>
          <c:yVal>
            <c:numRef>
              <c:f>Active!$U$21:$U$50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119-4C17-9116-9025BD509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966352"/>
        <c:axId val="1"/>
      </c:scatterChart>
      <c:valAx>
        <c:axId val="905966352"/>
        <c:scaling>
          <c:orientation val="minMax"/>
          <c:min val="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827067669172932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2781954887218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9663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443609022556392"/>
          <c:y val="0.91291543512015949"/>
          <c:w val="0.72330827067669168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VW UMi - O-C Diagr.</a:t>
            </a:r>
          </a:p>
        </c:rich>
      </c:tx>
      <c:layout>
        <c:manualLayout>
          <c:xMode val="edge"/>
          <c:yMode val="edge"/>
          <c:x val="0.37537584828923409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62179995689042"/>
          <c:y val="0.14770490515032927"/>
          <c:w val="0.83033154785383212"/>
          <c:h val="0.636727489902085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7820.5</c:v>
                </c:pt>
                <c:pt idx="2">
                  <c:v>8577</c:v>
                </c:pt>
                <c:pt idx="3">
                  <c:v>8593</c:v>
                </c:pt>
                <c:pt idx="4">
                  <c:v>8604</c:v>
                </c:pt>
                <c:pt idx="5">
                  <c:v>8605.5</c:v>
                </c:pt>
                <c:pt idx="6">
                  <c:v>8704</c:v>
                </c:pt>
                <c:pt idx="7">
                  <c:v>8718</c:v>
                </c:pt>
                <c:pt idx="8">
                  <c:v>8730.5</c:v>
                </c:pt>
                <c:pt idx="9">
                  <c:v>8777.5</c:v>
                </c:pt>
                <c:pt idx="10">
                  <c:v>8777.5</c:v>
                </c:pt>
                <c:pt idx="11">
                  <c:v>8777.5</c:v>
                </c:pt>
                <c:pt idx="12">
                  <c:v>8949.5</c:v>
                </c:pt>
                <c:pt idx="13">
                  <c:v>8949.5</c:v>
                </c:pt>
                <c:pt idx="14">
                  <c:v>9458.5</c:v>
                </c:pt>
                <c:pt idx="15">
                  <c:v>9458.5</c:v>
                </c:pt>
                <c:pt idx="16">
                  <c:v>9458.5</c:v>
                </c:pt>
                <c:pt idx="17">
                  <c:v>9458.5</c:v>
                </c:pt>
                <c:pt idx="18">
                  <c:v>9663</c:v>
                </c:pt>
                <c:pt idx="19">
                  <c:v>9683.5</c:v>
                </c:pt>
                <c:pt idx="20">
                  <c:v>10825</c:v>
                </c:pt>
                <c:pt idx="21">
                  <c:v>10868</c:v>
                </c:pt>
                <c:pt idx="22">
                  <c:v>12455</c:v>
                </c:pt>
                <c:pt idx="23">
                  <c:v>13078.5</c:v>
                </c:pt>
                <c:pt idx="24">
                  <c:v>13138</c:v>
                </c:pt>
                <c:pt idx="25">
                  <c:v>12966</c:v>
                </c:pt>
                <c:pt idx="26">
                  <c:v>12999</c:v>
                </c:pt>
                <c:pt idx="27">
                  <c:v>12999</c:v>
                </c:pt>
                <c:pt idx="28">
                  <c:v>13287.5</c:v>
                </c:pt>
                <c:pt idx="29">
                  <c:v>13621</c:v>
                </c:pt>
              </c:numCache>
            </c:numRef>
          </c:xVal>
          <c:yVal>
            <c:numRef>
              <c:f>Active!$H$21:$H$50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77-4768-9CA6-43A18B8E6DD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7820.5</c:v>
                </c:pt>
                <c:pt idx="2">
                  <c:v>8577</c:v>
                </c:pt>
                <c:pt idx="3">
                  <c:v>8593</c:v>
                </c:pt>
                <c:pt idx="4">
                  <c:v>8604</c:v>
                </c:pt>
                <c:pt idx="5">
                  <c:v>8605.5</c:v>
                </c:pt>
                <c:pt idx="6">
                  <c:v>8704</c:v>
                </c:pt>
                <c:pt idx="7">
                  <c:v>8718</c:v>
                </c:pt>
                <c:pt idx="8">
                  <c:v>8730.5</c:v>
                </c:pt>
                <c:pt idx="9">
                  <c:v>8777.5</c:v>
                </c:pt>
                <c:pt idx="10">
                  <c:v>8777.5</c:v>
                </c:pt>
                <c:pt idx="11">
                  <c:v>8777.5</c:v>
                </c:pt>
                <c:pt idx="12">
                  <c:v>8949.5</c:v>
                </c:pt>
                <c:pt idx="13">
                  <c:v>8949.5</c:v>
                </c:pt>
                <c:pt idx="14">
                  <c:v>9458.5</c:v>
                </c:pt>
                <c:pt idx="15">
                  <c:v>9458.5</c:v>
                </c:pt>
                <c:pt idx="16">
                  <c:v>9458.5</c:v>
                </c:pt>
                <c:pt idx="17">
                  <c:v>9458.5</c:v>
                </c:pt>
                <c:pt idx="18">
                  <c:v>9663</c:v>
                </c:pt>
                <c:pt idx="19">
                  <c:v>9683.5</c:v>
                </c:pt>
                <c:pt idx="20">
                  <c:v>10825</c:v>
                </c:pt>
                <c:pt idx="21">
                  <c:v>10868</c:v>
                </c:pt>
                <c:pt idx="22">
                  <c:v>12455</c:v>
                </c:pt>
                <c:pt idx="23">
                  <c:v>13078.5</c:v>
                </c:pt>
                <c:pt idx="24">
                  <c:v>13138</c:v>
                </c:pt>
                <c:pt idx="25">
                  <c:v>12966</c:v>
                </c:pt>
                <c:pt idx="26">
                  <c:v>12999</c:v>
                </c:pt>
                <c:pt idx="27">
                  <c:v>12999</c:v>
                </c:pt>
                <c:pt idx="28">
                  <c:v>13287.5</c:v>
                </c:pt>
                <c:pt idx="29">
                  <c:v>13621</c:v>
                </c:pt>
              </c:numCache>
            </c:numRef>
          </c:xVal>
          <c:yVal>
            <c:numRef>
              <c:f>Active!$I$21:$I$50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77-4768-9CA6-43A18B8E6DD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7820.5</c:v>
                </c:pt>
                <c:pt idx="2">
                  <c:v>8577</c:v>
                </c:pt>
                <c:pt idx="3">
                  <c:v>8593</c:v>
                </c:pt>
                <c:pt idx="4">
                  <c:v>8604</c:v>
                </c:pt>
                <c:pt idx="5">
                  <c:v>8605.5</c:v>
                </c:pt>
                <c:pt idx="6">
                  <c:v>8704</c:v>
                </c:pt>
                <c:pt idx="7">
                  <c:v>8718</c:v>
                </c:pt>
                <c:pt idx="8">
                  <c:v>8730.5</c:v>
                </c:pt>
                <c:pt idx="9">
                  <c:v>8777.5</c:v>
                </c:pt>
                <c:pt idx="10">
                  <c:v>8777.5</c:v>
                </c:pt>
                <c:pt idx="11">
                  <c:v>8777.5</c:v>
                </c:pt>
                <c:pt idx="12">
                  <c:v>8949.5</c:v>
                </c:pt>
                <c:pt idx="13">
                  <c:v>8949.5</c:v>
                </c:pt>
                <c:pt idx="14">
                  <c:v>9458.5</c:v>
                </c:pt>
                <c:pt idx="15">
                  <c:v>9458.5</c:v>
                </c:pt>
                <c:pt idx="16">
                  <c:v>9458.5</c:v>
                </c:pt>
                <c:pt idx="17">
                  <c:v>9458.5</c:v>
                </c:pt>
                <c:pt idx="18">
                  <c:v>9663</c:v>
                </c:pt>
                <c:pt idx="19">
                  <c:v>9683.5</c:v>
                </c:pt>
                <c:pt idx="20">
                  <c:v>10825</c:v>
                </c:pt>
                <c:pt idx="21">
                  <c:v>10868</c:v>
                </c:pt>
                <c:pt idx="22">
                  <c:v>12455</c:v>
                </c:pt>
                <c:pt idx="23">
                  <c:v>13078.5</c:v>
                </c:pt>
                <c:pt idx="24">
                  <c:v>13138</c:v>
                </c:pt>
                <c:pt idx="25">
                  <c:v>12966</c:v>
                </c:pt>
                <c:pt idx="26">
                  <c:v>12999</c:v>
                </c:pt>
                <c:pt idx="27">
                  <c:v>12999</c:v>
                </c:pt>
                <c:pt idx="28">
                  <c:v>13287.5</c:v>
                </c:pt>
                <c:pt idx="29">
                  <c:v>13621</c:v>
                </c:pt>
              </c:numCache>
            </c:numRef>
          </c:xVal>
          <c:yVal>
            <c:numRef>
              <c:f>Active!$J$21:$J$50</c:f>
              <c:numCache>
                <c:formatCode>General</c:formatCode>
                <c:ptCount val="30"/>
                <c:pt idx="1">
                  <c:v>0.59267499999987194</c:v>
                </c:pt>
                <c:pt idx="4">
                  <c:v>0.65369999999529682</c:v>
                </c:pt>
                <c:pt idx="20">
                  <c:v>0.81934999999066349</c:v>
                </c:pt>
                <c:pt idx="21">
                  <c:v>0.83159999999770662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77-4768-9CA6-43A18B8E6DD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7820.5</c:v>
                </c:pt>
                <c:pt idx="2">
                  <c:v>8577</c:v>
                </c:pt>
                <c:pt idx="3">
                  <c:v>8593</c:v>
                </c:pt>
                <c:pt idx="4">
                  <c:v>8604</c:v>
                </c:pt>
                <c:pt idx="5">
                  <c:v>8605.5</c:v>
                </c:pt>
                <c:pt idx="6">
                  <c:v>8704</c:v>
                </c:pt>
                <c:pt idx="7">
                  <c:v>8718</c:v>
                </c:pt>
                <c:pt idx="8">
                  <c:v>8730.5</c:v>
                </c:pt>
                <c:pt idx="9">
                  <c:v>8777.5</c:v>
                </c:pt>
                <c:pt idx="10">
                  <c:v>8777.5</c:v>
                </c:pt>
                <c:pt idx="11">
                  <c:v>8777.5</c:v>
                </c:pt>
                <c:pt idx="12">
                  <c:v>8949.5</c:v>
                </c:pt>
                <c:pt idx="13">
                  <c:v>8949.5</c:v>
                </c:pt>
                <c:pt idx="14">
                  <c:v>9458.5</c:v>
                </c:pt>
                <c:pt idx="15">
                  <c:v>9458.5</c:v>
                </c:pt>
                <c:pt idx="16">
                  <c:v>9458.5</c:v>
                </c:pt>
                <c:pt idx="17">
                  <c:v>9458.5</c:v>
                </c:pt>
                <c:pt idx="18">
                  <c:v>9663</c:v>
                </c:pt>
                <c:pt idx="19">
                  <c:v>9683.5</c:v>
                </c:pt>
                <c:pt idx="20">
                  <c:v>10825</c:v>
                </c:pt>
                <c:pt idx="21">
                  <c:v>10868</c:v>
                </c:pt>
                <c:pt idx="22">
                  <c:v>12455</c:v>
                </c:pt>
                <c:pt idx="23">
                  <c:v>13078.5</c:v>
                </c:pt>
                <c:pt idx="24">
                  <c:v>13138</c:v>
                </c:pt>
                <c:pt idx="25">
                  <c:v>12966</c:v>
                </c:pt>
                <c:pt idx="26">
                  <c:v>12999</c:v>
                </c:pt>
                <c:pt idx="27">
                  <c:v>12999</c:v>
                </c:pt>
                <c:pt idx="28">
                  <c:v>13287.5</c:v>
                </c:pt>
                <c:pt idx="29">
                  <c:v>13621</c:v>
                </c:pt>
                <c:pt idx="30">
                  <c:v>16178</c:v>
                </c:pt>
              </c:numCache>
            </c:numRef>
          </c:xVal>
          <c:yVal>
            <c:numRef>
              <c:f>Active!$K$21:$K$500</c:f>
              <c:numCache>
                <c:formatCode>General</c:formatCode>
                <c:ptCount val="480"/>
                <c:pt idx="0">
                  <c:v>0</c:v>
                </c:pt>
                <c:pt idx="2">
                  <c:v>0.65268999999534572</c:v>
                </c:pt>
                <c:pt idx="3">
                  <c:v>0.6538799999980256</c:v>
                </c:pt>
                <c:pt idx="5">
                  <c:v>0.65316499999607913</c:v>
                </c:pt>
                <c:pt idx="6">
                  <c:v>0.66171999999642139</c:v>
                </c:pt>
                <c:pt idx="7">
                  <c:v>0.66340999999374617</c:v>
                </c:pt>
                <c:pt idx="8">
                  <c:v>0.662304999990738</c:v>
                </c:pt>
                <c:pt idx="9">
                  <c:v>0.66571499999554362</c:v>
                </c:pt>
                <c:pt idx="10">
                  <c:v>0.66635499999392778</c:v>
                </c:pt>
                <c:pt idx="11">
                  <c:v>0.6669249999904423</c:v>
                </c:pt>
                <c:pt idx="12">
                  <c:v>0.67893499999627238</c:v>
                </c:pt>
                <c:pt idx="13">
                  <c:v>0.68365499999345047</c:v>
                </c:pt>
                <c:pt idx="14">
                  <c:v>0.71874499999103136</c:v>
                </c:pt>
                <c:pt idx="15">
                  <c:v>0.71921499999734806</c:v>
                </c:pt>
                <c:pt idx="16">
                  <c:v>0.71945499999128515</c:v>
                </c:pt>
                <c:pt idx="17">
                  <c:v>0.72047499999462161</c:v>
                </c:pt>
                <c:pt idx="18">
                  <c:v>0.73525999999401392</c:v>
                </c:pt>
                <c:pt idx="19">
                  <c:v>0.73646499999449588</c:v>
                </c:pt>
                <c:pt idx="22">
                  <c:v>0.93282999999064486</c:v>
                </c:pt>
                <c:pt idx="23">
                  <c:v>0.9807749999963562</c:v>
                </c:pt>
                <c:pt idx="24">
                  <c:v>0.9816999999966356</c:v>
                </c:pt>
                <c:pt idx="25">
                  <c:v>0.96580000004178146</c:v>
                </c:pt>
                <c:pt idx="26">
                  <c:v>0.96996000018407358</c:v>
                </c:pt>
                <c:pt idx="27">
                  <c:v>0.96998999994684709</c:v>
                </c:pt>
                <c:pt idx="28">
                  <c:v>0.98744499981694389</c:v>
                </c:pt>
                <c:pt idx="29">
                  <c:v>1.0079200000473065</c:v>
                </c:pt>
                <c:pt idx="30">
                  <c:v>0.92639999999664724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77-4768-9CA6-43A18B8E6DD1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7820.5</c:v>
                </c:pt>
                <c:pt idx="2">
                  <c:v>8577</c:v>
                </c:pt>
                <c:pt idx="3">
                  <c:v>8593</c:v>
                </c:pt>
                <c:pt idx="4">
                  <c:v>8604</c:v>
                </c:pt>
                <c:pt idx="5">
                  <c:v>8605.5</c:v>
                </c:pt>
                <c:pt idx="6">
                  <c:v>8704</c:v>
                </c:pt>
                <c:pt idx="7">
                  <c:v>8718</c:v>
                </c:pt>
                <c:pt idx="8">
                  <c:v>8730.5</c:v>
                </c:pt>
                <c:pt idx="9">
                  <c:v>8777.5</c:v>
                </c:pt>
                <c:pt idx="10">
                  <c:v>8777.5</c:v>
                </c:pt>
                <c:pt idx="11">
                  <c:v>8777.5</c:v>
                </c:pt>
                <c:pt idx="12">
                  <c:v>8949.5</c:v>
                </c:pt>
                <c:pt idx="13">
                  <c:v>8949.5</c:v>
                </c:pt>
                <c:pt idx="14">
                  <c:v>9458.5</c:v>
                </c:pt>
                <c:pt idx="15">
                  <c:v>9458.5</c:v>
                </c:pt>
                <c:pt idx="16">
                  <c:v>9458.5</c:v>
                </c:pt>
                <c:pt idx="17">
                  <c:v>9458.5</c:v>
                </c:pt>
                <c:pt idx="18">
                  <c:v>9663</c:v>
                </c:pt>
                <c:pt idx="19">
                  <c:v>9683.5</c:v>
                </c:pt>
                <c:pt idx="20">
                  <c:v>10825</c:v>
                </c:pt>
                <c:pt idx="21">
                  <c:v>10868</c:v>
                </c:pt>
                <c:pt idx="22">
                  <c:v>12455</c:v>
                </c:pt>
                <c:pt idx="23">
                  <c:v>13078.5</c:v>
                </c:pt>
                <c:pt idx="24">
                  <c:v>13138</c:v>
                </c:pt>
                <c:pt idx="25">
                  <c:v>12966</c:v>
                </c:pt>
                <c:pt idx="26">
                  <c:v>12999</c:v>
                </c:pt>
                <c:pt idx="27">
                  <c:v>12999</c:v>
                </c:pt>
                <c:pt idx="28">
                  <c:v>13287.5</c:v>
                </c:pt>
                <c:pt idx="29">
                  <c:v>13621</c:v>
                </c:pt>
              </c:numCache>
            </c:numRef>
          </c:xVal>
          <c:yVal>
            <c:numRef>
              <c:f>Active!$L$21:$L$50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77-4768-9CA6-43A18B8E6DD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7820.5</c:v>
                </c:pt>
                <c:pt idx="2">
                  <c:v>8577</c:v>
                </c:pt>
                <c:pt idx="3">
                  <c:v>8593</c:v>
                </c:pt>
                <c:pt idx="4">
                  <c:v>8604</c:v>
                </c:pt>
                <c:pt idx="5">
                  <c:v>8605.5</c:v>
                </c:pt>
                <c:pt idx="6">
                  <c:v>8704</c:v>
                </c:pt>
                <c:pt idx="7">
                  <c:v>8718</c:v>
                </c:pt>
                <c:pt idx="8">
                  <c:v>8730.5</c:v>
                </c:pt>
                <c:pt idx="9">
                  <c:v>8777.5</c:v>
                </c:pt>
                <c:pt idx="10">
                  <c:v>8777.5</c:v>
                </c:pt>
                <c:pt idx="11">
                  <c:v>8777.5</c:v>
                </c:pt>
                <c:pt idx="12">
                  <c:v>8949.5</c:v>
                </c:pt>
                <c:pt idx="13">
                  <c:v>8949.5</c:v>
                </c:pt>
                <c:pt idx="14">
                  <c:v>9458.5</c:v>
                </c:pt>
                <c:pt idx="15">
                  <c:v>9458.5</c:v>
                </c:pt>
                <c:pt idx="16">
                  <c:v>9458.5</c:v>
                </c:pt>
                <c:pt idx="17">
                  <c:v>9458.5</c:v>
                </c:pt>
                <c:pt idx="18">
                  <c:v>9663</c:v>
                </c:pt>
                <c:pt idx="19">
                  <c:v>9683.5</c:v>
                </c:pt>
                <c:pt idx="20">
                  <c:v>10825</c:v>
                </c:pt>
                <c:pt idx="21">
                  <c:v>10868</c:v>
                </c:pt>
                <c:pt idx="22">
                  <c:v>12455</c:v>
                </c:pt>
                <c:pt idx="23">
                  <c:v>13078.5</c:v>
                </c:pt>
                <c:pt idx="24">
                  <c:v>13138</c:v>
                </c:pt>
                <c:pt idx="25">
                  <c:v>12966</c:v>
                </c:pt>
                <c:pt idx="26">
                  <c:v>12999</c:v>
                </c:pt>
                <c:pt idx="27">
                  <c:v>12999</c:v>
                </c:pt>
                <c:pt idx="28">
                  <c:v>13287.5</c:v>
                </c:pt>
                <c:pt idx="29">
                  <c:v>13621</c:v>
                </c:pt>
              </c:numCache>
            </c:numRef>
          </c:xVal>
          <c:yVal>
            <c:numRef>
              <c:f>Active!$M$21:$M$50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77-4768-9CA6-43A18B8E6DD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7820.5</c:v>
                </c:pt>
                <c:pt idx="2">
                  <c:v>8577</c:v>
                </c:pt>
                <c:pt idx="3">
                  <c:v>8593</c:v>
                </c:pt>
                <c:pt idx="4">
                  <c:v>8604</c:v>
                </c:pt>
                <c:pt idx="5">
                  <c:v>8605.5</c:v>
                </c:pt>
                <c:pt idx="6">
                  <c:v>8704</c:v>
                </c:pt>
                <c:pt idx="7">
                  <c:v>8718</c:v>
                </c:pt>
                <c:pt idx="8">
                  <c:v>8730.5</c:v>
                </c:pt>
                <c:pt idx="9">
                  <c:v>8777.5</c:v>
                </c:pt>
                <c:pt idx="10">
                  <c:v>8777.5</c:v>
                </c:pt>
                <c:pt idx="11">
                  <c:v>8777.5</c:v>
                </c:pt>
                <c:pt idx="12">
                  <c:v>8949.5</c:v>
                </c:pt>
                <c:pt idx="13">
                  <c:v>8949.5</c:v>
                </c:pt>
                <c:pt idx="14">
                  <c:v>9458.5</c:v>
                </c:pt>
                <c:pt idx="15">
                  <c:v>9458.5</c:v>
                </c:pt>
                <c:pt idx="16">
                  <c:v>9458.5</c:v>
                </c:pt>
                <c:pt idx="17">
                  <c:v>9458.5</c:v>
                </c:pt>
                <c:pt idx="18">
                  <c:v>9663</c:v>
                </c:pt>
                <c:pt idx="19">
                  <c:v>9683.5</c:v>
                </c:pt>
                <c:pt idx="20">
                  <c:v>10825</c:v>
                </c:pt>
                <c:pt idx="21">
                  <c:v>10868</c:v>
                </c:pt>
                <c:pt idx="22">
                  <c:v>12455</c:v>
                </c:pt>
                <c:pt idx="23">
                  <c:v>13078.5</c:v>
                </c:pt>
                <c:pt idx="24">
                  <c:v>13138</c:v>
                </c:pt>
                <c:pt idx="25">
                  <c:v>12966</c:v>
                </c:pt>
                <c:pt idx="26">
                  <c:v>12999</c:v>
                </c:pt>
                <c:pt idx="27">
                  <c:v>12999</c:v>
                </c:pt>
                <c:pt idx="28">
                  <c:v>13287.5</c:v>
                </c:pt>
                <c:pt idx="29">
                  <c:v>13621</c:v>
                </c:pt>
              </c:numCache>
            </c:numRef>
          </c:xVal>
          <c:yVal>
            <c:numRef>
              <c:f>Active!$N$21:$N$50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877-4768-9CA6-43A18B8E6DD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7820.5</c:v>
                </c:pt>
                <c:pt idx="2">
                  <c:v>8577</c:v>
                </c:pt>
                <c:pt idx="3">
                  <c:v>8593</c:v>
                </c:pt>
                <c:pt idx="4">
                  <c:v>8604</c:v>
                </c:pt>
                <c:pt idx="5">
                  <c:v>8605.5</c:v>
                </c:pt>
                <c:pt idx="6">
                  <c:v>8704</c:v>
                </c:pt>
                <c:pt idx="7">
                  <c:v>8718</c:v>
                </c:pt>
                <c:pt idx="8">
                  <c:v>8730.5</c:v>
                </c:pt>
                <c:pt idx="9">
                  <c:v>8777.5</c:v>
                </c:pt>
                <c:pt idx="10">
                  <c:v>8777.5</c:v>
                </c:pt>
                <c:pt idx="11">
                  <c:v>8777.5</c:v>
                </c:pt>
                <c:pt idx="12">
                  <c:v>8949.5</c:v>
                </c:pt>
                <c:pt idx="13">
                  <c:v>8949.5</c:v>
                </c:pt>
                <c:pt idx="14">
                  <c:v>9458.5</c:v>
                </c:pt>
                <c:pt idx="15">
                  <c:v>9458.5</c:v>
                </c:pt>
                <c:pt idx="16">
                  <c:v>9458.5</c:v>
                </c:pt>
                <c:pt idx="17">
                  <c:v>9458.5</c:v>
                </c:pt>
                <c:pt idx="18">
                  <c:v>9663</c:v>
                </c:pt>
                <c:pt idx="19">
                  <c:v>9683.5</c:v>
                </c:pt>
                <c:pt idx="20">
                  <c:v>10825</c:v>
                </c:pt>
                <c:pt idx="21">
                  <c:v>10868</c:v>
                </c:pt>
                <c:pt idx="22">
                  <c:v>12455</c:v>
                </c:pt>
                <c:pt idx="23">
                  <c:v>13078.5</c:v>
                </c:pt>
                <c:pt idx="24">
                  <c:v>13138</c:v>
                </c:pt>
                <c:pt idx="25">
                  <c:v>12966</c:v>
                </c:pt>
                <c:pt idx="26">
                  <c:v>12999</c:v>
                </c:pt>
                <c:pt idx="27">
                  <c:v>12999</c:v>
                </c:pt>
                <c:pt idx="28">
                  <c:v>13287.5</c:v>
                </c:pt>
                <c:pt idx="29">
                  <c:v>13621</c:v>
                </c:pt>
              </c:numCache>
            </c:numRef>
          </c:xVal>
          <c:yVal>
            <c:numRef>
              <c:f>Active!$O$21:$O$50</c:f>
              <c:numCache>
                <c:formatCode>General</c:formatCode>
                <c:ptCount val="30"/>
                <c:pt idx="0">
                  <c:v>8.1738681309612371E-2</c:v>
                </c:pt>
                <c:pt idx="1">
                  <c:v>0.60141812369487235</c:v>
                </c:pt>
                <c:pt idx="2">
                  <c:v>0.65168824685380711</c:v>
                </c:pt>
                <c:pt idx="3">
                  <c:v>0.65275146161989173</c:v>
                </c:pt>
                <c:pt idx="4">
                  <c:v>0.65348242177157478</c:v>
                </c:pt>
                <c:pt idx="5">
                  <c:v>0.6535820981558953</c:v>
                </c:pt>
                <c:pt idx="6">
                  <c:v>0.66012751405960324</c:v>
                </c:pt>
                <c:pt idx="7">
                  <c:v>0.66105782697992721</c:v>
                </c:pt>
                <c:pt idx="8">
                  <c:v>0.66188846351593078</c:v>
                </c:pt>
                <c:pt idx="9">
                  <c:v>0.66501165689130404</c:v>
                </c:pt>
                <c:pt idx="10">
                  <c:v>0.66501165689130404</c:v>
                </c:pt>
                <c:pt idx="11">
                  <c:v>0.66501165689130404</c:v>
                </c:pt>
                <c:pt idx="12">
                  <c:v>0.67644121562671289</c:v>
                </c:pt>
                <c:pt idx="13">
                  <c:v>0.67644121562671289</c:v>
                </c:pt>
                <c:pt idx="14">
                  <c:v>0.71026473537277734</c:v>
                </c:pt>
                <c:pt idx="15">
                  <c:v>0.71026473537277734</c:v>
                </c:pt>
                <c:pt idx="16">
                  <c:v>0.71026473537277734</c:v>
                </c:pt>
                <c:pt idx="17">
                  <c:v>0.71026473537277734</c:v>
                </c:pt>
                <c:pt idx="18">
                  <c:v>0.72385394910179546</c:v>
                </c:pt>
                <c:pt idx="19">
                  <c:v>0.72521619302084128</c:v>
                </c:pt>
                <c:pt idx="20">
                  <c:v>0.80106992148868528</c:v>
                </c:pt>
                <c:pt idx="21">
                  <c:v>0.80392731117253746</c:v>
                </c:pt>
                <c:pt idx="22">
                  <c:v>0.90938492578354801</c:v>
                </c:pt>
                <c:pt idx="23">
                  <c:v>0.95081707619940503</c:v>
                </c:pt>
                <c:pt idx="24">
                  <c:v>0.95477090611078186</c:v>
                </c:pt>
                <c:pt idx="25">
                  <c:v>0.94334134737537312</c:v>
                </c:pt>
                <c:pt idx="26">
                  <c:v>0.9455342278304224</c:v>
                </c:pt>
                <c:pt idx="27">
                  <c:v>0.9455342278304224</c:v>
                </c:pt>
                <c:pt idx="28">
                  <c:v>0.96470531908138435</c:v>
                </c:pt>
                <c:pt idx="29">
                  <c:v>0.98686670186195902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877-4768-9CA6-43A18B8E6DD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7820.5</c:v>
                </c:pt>
                <c:pt idx="2">
                  <c:v>8577</c:v>
                </c:pt>
                <c:pt idx="3">
                  <c:v>8593</c:v>
                </c:pt>
                <c:pt idx="4">
                  <c:v>8604</c:v>
                </c:pt>
                <c:pt idx="5">
                  <c:v>8605.5</c:v>
                </c:pt>
                <c:pt idx="6">
                  <c:v>8704</c:v>
                </c:pt>
                <c:pt idx="7">
                  <c:v>8718</c:v>
                </c:pt>
                <c:pt idx="8">
                  <c:v>8730.5</c:v>
                </c:pt>
                <c:pt idx="9">
                  <c:v>8777.5</c:v>
                </c:pt>
                <c:pt idx="10">
                  <c:v>8777.5</c:v>
                </c:pt>
                <c:pt idx="11">
                  <c:v>8777.5</c:v>
                </c:pt>
                <c:pt idx="12">
                  <c:v>8949.5</c:v>
                </c:pt>
                <c:pt idx="13">
                  <c:v>8949.5</c:v>
                </c:pt>
                <c:pt idx="14">
                  <c:v>9458.5</c:v>
                </c:pt>
                <c:pt idx="15">
                  <c:v>9458.5</c:v>
                </c:pt>
                <c:pt idx="16">
                  <c:v>9458.5</c:v>
                </c:pt>
                <c:pt idx="17">
                  <c:v>9458.5</c:v>
                </c:pt>
                <c:pt idx="18">
                  <c:v>9663</c:v>
                </c:pt>
                <c:pt idx="19">
                  <c:v>9683.5</c:v>
                </c:pt>
                <c:pt idx="20">
                  <c:v>10825</c:v>
                </c:pt>
                <c:pt idx="21">
                  <c:v>10868</c:v>
                </c:pt>
                <c:pt idx="22">
                  <c:v>12455</c:v>
                </c:pt>
                <c:pt idx="23">
                  <c:v>13078.5</c:v>
                </c:pt>
                <c:pt idx="24">
                  <c:v>13138</c:v>
                </c:pt>
                <c:pt idx="25">
                  <c:v>12966</c:v>
                </c:pt>
                <c:pt idx="26">
                  <c:v>12999</c:v>
                </c:pt>
                <c:pt idx="27">
                  <c:v>12999</c:v>
                </c:pt>
                <c:pt idx="28">
                  <c:v>13287.5</c:v>
                </c:pt>
                <c:pt idx="29">
                  <c:v>13621</c:v>
                </c:pt>
              </c:numCache>
            </c:numRef>
          </c:xVal>
          <c:yVal>
            <c:numRef>
              <c:f>Active!$U$21:$U$50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877-4768-9CA6-43A18B8E6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969960"/>
        <c:axId val="1"/>
      </c:scatterChart>
      <c:valAx>
        <c:axId val="9059699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900979719877359"/>
              <c:y val="0.86527071840570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616829333459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9699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67599095158148"/>
          <c:y val="0.91616892199852262"/>
          <c:w val="0.7222233256878926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2963618-E158-A8C3-E56E-F1E65A9CE3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180975</xdr:colOff>
      <xdr:row>0</xdr:row>
      <xdr:rowOff>0</xdr:rowOff>
    </xdr:from>
    <xdr:to>
      <xdr:col>27</xdr:col>
      <xdr:colOff>66675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629099F7-356C-16C7-1C9C-755CA690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13" Type="http://schemas.openxmlformats.org/officeDocument/2006/relationships/hyperlink" Target="http://var.astro.cz/oejv/issues/oejv0160.pdf" TargetMode="External"/><Relationship Id="rId18" Type="http://schemas.openxmlformats.org/officeDocument/2006/relationships/hyperlink" Target="http://www.bav-astro.de/sfs/BAVM_link.php?BAVMnr=241" TargetMode="External"/><Relationship Id="rId3" Type="http://schemas.openxmlformats.org/officeDocument/2006/relationships/hyperlink" Target="http://var.astro.cz/oejv/issues/oejv0160.pdf" TargetMode="External"/><Relationship Id="rId21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var.astro.cz/oejv/issues/oejv0160.pdf" TargetMode="External"/><Relationship Id="rId12" Type="http://schemas.openxmlformats.org/officeDocument/2006/relationships/hyperlink" Target="http://var.astro.cz/oejv/issues/oejv0160.pdf" TargetMode="External"/><Relationship Id="rId1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231" TargetMode="External"/><Relationship Id="rId16" Type="http://schemas.openxmlformats.org/officeDocument/2006/relationships/hyperlink" Target="http://var.astro.cz/oejv/issues/oejv0160.pdf" TargetMode="External"/><Relationship Id="rId20" Type="http://schemas.openxmlformats.org/officeDocument/2006/relationships/hyperlink" Target="http://var.astro.cz/oejv/issues/oejv0137.pdf" TargetMode="External"/><Relationship Id="rId1" Type="http://schemas.openxmlformats.org/officeDocument/2006/relationships/hyperlink" Target="http://www.bav-astro.de/sfs/BAVM_link.php?BAVMnr=220" TargetMode="External"/><Relationship Id="rId6" Type="http://schemas.openxmlformats.org/officeDocument/2006/relationships/hyperlink" Target="http://var.astro.cz/oejv/issues/oejv0160.pdf" TargetMode="External"/><Relationship Id="rId11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var.astro.cz/oejv/issues/oejv0160.pdf" TargetMode="External"/><Relationship Id="rId1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var.astro.cz/oejv/issues/oejv0160.pdf" TargetMode="External"/><Relationship Id="rId19" Type="http://schemas.openxmlformats.org/officeDocument/2006/relationships/hyperlink" Target="http://www.bav-astro.de/sfs/BAVM_link.php?BAVMnr=238" TargetMode="External"/><Relationship Id="rId4" Type="http://schemas.openxmlformats.org/officeDocument/2006/relationships/hyperlink" Target="http://var.astro.cz/oejv/issues/oejv0160.pdf" TargetMode="External"/><Relationship Id="rId9" Type="http://schemas.openxmlformats.org/officeDocument/2006/relationships/hyperlink" Target="http://var.astro.cz/oejv/issues/oejv0160.pdf" TargetMode="External"/><Relationship Id="rId1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12" ht="20.25" x14ac:dyDescent="0.3">
      <c r="A1" s="2" t="s">
        <v>0</v>
      </c>
      <c r="E1" s="3"/>
      <c r="F1" s="4" t="s">
        <v>1</v>
      </c>
      <c r="G1" s="3" t="s">
        <v>2</v>
      </c>
      <c r="H1" s="5" t="s">
        <v>3</v>
      </c>
      <c r="I1" s="6">
        <v>51420.948000000004</v>
      </c>
      <c r="J1" s="6">
        <v>0.48885000000000001</v>
      </c>
      <c r="K1" s="7" t="s">
        <v>4</v>
      </c>
      <c r="L1" s="8" t="s">
        <v>5</v>
      </c>
    </row>
    <row r="2" spans="1:12" x14ac:dyDescent="0.2">
      <c r="A2" s="1" t="s">
        <v>6</v>
      </c>
      <c r="B2" s="1" t="s">
        <v>2</v>
      </c>
      <c r="C2" s="9"/>
      <c r="D2" s="9"/>
    </row>
    <row r="4" spans="1:12" x14ac:dyDescent="0.2">
      <c r="A4" s="10" t="s">
        <v>3</v>
      </c>
      <c r="C4" s="11">
        <v>51420.948000000004</v>
      </c>
      <c r="D4" s="12">
        <v>0.48885000000000001</v>
      </c>
    </row>
    <row r="5" spans="1:12" x14ac:dyDescent="0.2">
      <c r="A5" s="13" t="s">
        <v>7</v>
      </c>
      <c r="B5"/>
      <c r="C5" s="14">
        <v>-9.5</v>
      </c>
      <c r="D5" t="s">
        <v>8</v>
      </c>
    </row>
    <row r="6" spans="1:12" x14ac:dyDescent="0.2">
      <c r="A6" s="15" t="s">
        <v>9</v>
      </c>
    </row>
    <row r="7" spans="1:12" x14ac:dyDescent="0.2">
      <c r="A7" s="1" t="s">
        <v>10</v>
      </c>
      <c r="C7" s="1">
        <f>+C4</f>
        <v>51420.948000000004</v>
      </c>
    </row>
    <row r="8" spans="1:12" x14ac:dyDescent="0.2">
      <c r="A8" s="1" t="s">
        <v>11</v>
      </c>
      <c r="C8" s="1">
        <f>+D4</f>
        <v>0.48885000000000001</v>
      </c>
    </row>
    <row r="9" spans="1:12" x14ac:dyDescent="0.2">
      <c r="A9" s="16" t="s">
        <v>12</v>
      </c>
      <c r="B9" s="17">
        <v>21</v>
      </c>
      <c r="C9" s="18" t="str">
        <f>"F"&amp;B9</f>
        <v>F21</v>
      </c>
      <c r="D9" s="19" t="str">
        <f>"G"&amp;B9</f>
        <v>G21</v>
      </c>
    </row>
    <row r="10" spans="1:12" x14ac:dyDescent="0.2">
      <c r="A10"/>
      <c r="B10"/>
      <c r="C10" s="20" t="s">
        <v>13</v>
      </c>
      <c r="D10" s="20" t="s">
        <v>14</v>
      </c>
      <c r="E10"/>
    </row>
    <row r="11" spans="1:12" x14ac:dyDescent="0.2">
      <c r="A11" t="s">
        <v>15</v>
      </c>
      <c r="B11"/>
      <c r="C11" s="21">
        <f ca="1">INTERCEPT(INDIRECT($D$9):G992,INDIRECT($C$9):F992)</f>
        <v>8.1738681309612371E-2</v>
      </c>
      <c r="D11" s="22"/>
      <c r="E11"/>
    </row>
    <row r="12" spans="1:12" x14ac:dyDescent="0.2">
      <c r="A12" t="s">
        <v>16</v>
      </c>
      <c r="B12"/>
      <c r="C12" s="21">
        <f ca="1">SLOPE(INDIRECT($D$9):G992,INDIRECT($C$9):F992)</f>
        <v>6.6450922880283874E-5</v>
      </c>
      <c r="D12" s="22"/>
      <c r="E12"/>
    </row>
    <row r="13" spans="1:12" x14ac:dyDescent="0.2">
      <c r="A13" t="s">
        <v>17</v>
      </c>
      <c r="B13"/>
      <c r="C13" s="22" t="s">
        <v>18</v>
      </c>
    </row>
    <row r="14" spans="1:12" x14ac:dyDescent="0.2">
      <c r="A14"/>
      <c r="B14"/>
      <c r="C14"/>
    </row>
    <row r="15" spans="1:12" x14ac:dyDescent="0.2">
      <c r="A15" s="23" t="s">
        <v>19</v>
      </c>
      <c r="B15"/>
      <c r="C15" s="24">
        <f ca="1">(C7+C11)+(C8+C12)*INT(MAX(F21:F3533))</f>
        <v>59330.720081711668</v>
      </c>
      <c r="E15" s="16" t="s">
        <v>20</v>
      </c>
      <c r="F15" s="14">
        <v>1</v>
      </c>
    </row>
    <row r="16" spans="1:12" x14ac:dyDescent="0.2">
      <c r="A16" s="23" t="s">
        <v>21</v>
      </c>
      <c r="B16"/>
      <c r="C16" s="24">
        <f ca="1">+C8+C12</f>
        <v>0.48891645092288027</v>
      </c>
      <c r="E16" s="16" t="s">
        <v>22</v>
      </c>
      <c r="F16" s="21">
        <f ca="1">NOW()+15018.5+$C$5/24</f>
        <v>60326.733241203699</v>
      </c>
    </row>
    <row r="17" spans="1:21" x14ac:dyDescent="0.2">
      <c r="A17" s="16" t="s">
        <v>23</v>
      </c>
      <c r="B17"/>
      <c r="C17">
        <f>COUNT(C21:C2191)</f>
        <v>31</v>
      </c>
      <c r="E17" s="16" t="s">
        <v>24</v>
      </c>
      <c r="F17" s="21">
        <f ca="1">ROUND(2*(F16-$C$7)/$C$8,0)/2+F15</f>
        <v>18219</v>
      </c>
    </row>
    <row r="18" spans="1:21" x14ac:dyDescent="0.2">
      <c r="A18" s="23" t="s">
        <v>25</v>
      </c>
      <c r="B18"/>
      <c r="C18" s="25">
        <f ca="1">+C15</f>
        <v>59330.720081711668</v>
      </c>
      <c r="D18" s="26">
        <f ca="1">+C16</f>
        <v>0.48891645092288027</v>
      </c>
      <c r="E18" s="16" t="s">
        <v>26</v>
      </c>
      <c r="F18" s="19">
        <f ca="1">ROUND(2*(F16-$C$15)/$C$16,0)/2+F15</f>
        <v>2038</v>
      </c>
    </row>
    <row r="19" spans="1:21" x14ac:dyDescent="0.2">
      <c r="E19" s="16" t="s">
        <v>27</v>
      </c>
      <c r="F19" s="27">
        <f ca="1">+$C$15+$C$16*F18-15018.5-$C$5/24</f>
        <v>45309.027642025831</v>
      </c>
    </row>
    <row r="20" spans="1:21" x14ac:dyDescent="0.2">
      <c r="A20" s="20" t="s">
        <v>28</v>
      </c>
      <c r="B20" s="20" t="s">
        <v>29</v>
      </c>
      <c r="C20" s="20" t="s">
        <v>30</v>
      </c>
      <c r="D20" s="20" t="s">
        <v>31</v>
      </c>
      <c r="E20" s="20" t="s">
        <v>32</v>
      </c>
      <c r="F20" s="20" t="s">
        <v>33</v>
      </c>
      <c r="G20" s="20" t="s">
        <v>34</v>
      </c>
      <c r="H20" s="28" t="s">
        <v>35</v>
      </c>
      <c r="I20" s="28" t="s">
        <v>36</v>
      </c>
      <c r="J20" s="28" t="s">
        <v>37</v>
      </c>
      <c r="K20" s="28" t="s">
        <v>38</v>
      </c>
      <c r="L20" s="28" t="s">
        <v>39</v>
      </c>
      <c r="M20" s="28" t="s">
        <v>40</v>
      </c>
      <c r="N20" s="28" t="s">
        <v>41</v>
      </c>
      <c r="O20" s="28" t="s">
        <v>42</v>
      </c>
      <c r="P20" s="28" t="s">
        <v>43</v>
      </c>
      <c r="Q20" s="20" t="s">
        <v>44</v>
      </c>
      <c r="U20" s="29" t="s">
        <v>45</v>
      </c>
    </row>
    <row r="21" spans="1:21" x14ac:dyDescent="0.2">
      <c r="A21" s="1" t="str">
        <f>$K$1</f>
        <v>IBVS 5686</v>
      </c>
      <c r="C21" s="9">
        <f>+$C$4</f>
        <v>51420.948000000004</v>
      </c>
      <c r="D21" s="9" t="s">
        <v>18</v>
      </c>
      <c r="E21" s="1">
        <f t="shared" ref="E21:E33" si="0">+(C21-C$7)/C$8</f>
        <v>0</v>
      </c>
      <c r="F21" s="1">
        <f>ROUND(2*E21,0)/2</f>
        <v>0</v>
      </c>
      <c r="G21" s="1">
        <f t="shared" ref="G21:G33" si="1">+C21-(C$7+F21*C$8)</f>
        <v>0</v>
      </c>
      <c r="K21" s="1">
        <f>+G21</f>
        <v>0</v>
      </c>
      <c r="O21" s="1">
        <f t="shared" ref="O21:O33" ca="1" si="2">+C$11+C$12*$F21</f>
        <v>8.1738681309612371E-2</v>
      </c>
      <c r="Q21" s="60">
        <f t="shared" ref="Q21:Q33" si="3">+C21-15018.5</f>
        <v>36402.448000000004</v>
      </c>
    </row>
    <row r="22" spans="1:21" x14ac:dyDescent="0.2">
      <c r="A22" s="30" t="s">
        <v>46</v>
      </c>
      <c r="B22" s="31" t="s">
        <v>47</v>
      </c>
      <c r="C22" s="30">
        <v>55244.592100000002</v>
      </c>
      <c r="D22" s="30">
        <v>2.0000000000000001E-4</v>
      </c>
      <c r="E22" s="1">
        <f t="shared" si="0"/>
        <v>7821.7123862125345</v>
      </c>
      <c r="F22" s="32">
        <f>ROUND(2*E22,0)/2-1</f>
        <v>7820.5</v>
      </c>
      <c r="G22" s="1">
        <f t="shared" si="1"/>
        <v>0.59267499999987194</v>
      </c>
      <c r="J22" s="1">
        <f>+G22</f>
        <v>0.59267499999987194</v>
      </c>
      <c r="O22" s="1">
        <f t="shared" ca="1" si="2"/>
        <v>0.60141812369487235</v>
      </c>
      <c r="Q22" s="60">
        <f t="shared" si="3"/>
        <v>40226.092100000002</v>
      </c>
    </row>
    <row r="23" spans="1:21" x14ac:dyDescent="0.2">
      <c r="A23" s="33" t="s">
        <v>48</v>
      </c>
      <c r="B23" s="34" t="s">
        <v>49</v>
      </c>
      <c r="C23" s="35">
        <v>55614.467140000001</v>
      </c>
      <c r="D23" s="35">
        <v>2.9999999999999997E-4</v>
      </c>
      <c r="E23" s="1">
        <f t="shared" si="0"/>
        <v>8578.3351539326923</v>
      </c>
      <c r="F23" s="36">
        <f t="shared" ref="F23:F33" si="4">ROUND(2*E23,0)/2-1.5</f>
        <v>8577</v>
      </c>
      <c r="G23" s="1">
        <f t="shared" si="1"/>
        <v>0.65268999999534572</v>
      </c>
      <c r="K23" s="1">
        <f>+G23</f>
        <v>0.65268999999534572</v>
      </c>
      <c r="O23" s="1">
        <f t="shared" ca="1" si="2"/>
        <v>0.65168824685380711</v>
      </c>
      <c r="Q23" s="60">
        <f t="shared" si="3"/>
        <v>40595.967140000001</v>
      </c>
    </row>
    <row r="24" spans="1:21" x14ac:dyDescent="0.2">
      <c r="A24" s="33" t="s">
        <v>48</v>
      </c>
      <c r="B24" s="34" t="s">
        <v>49</v>
      </c>
      <c r="C24" s="35">
        <v>55622.289929999999</v>
      </c>
      <c r="D24" s="35">
        <v>2.0000000000000001E-4</v>
      </c>
      <c r="E24" s="1">
        <f t="shared" si="0"/>
        <v>8594.337588217235</v>
      </c>
      <c r="F24" s="36">
        <f t="shared" si="4"/>
        <v>8593</v>
      </c>
      <c r="G24" s="1">
        <f t="shared" si="1"/>
        <v>0.6538799999980256</v>
      </c>
      <c r="K24" s="1">
        <f>+G24</f>
        <v>0.6538799999980256</v>
      </c>
      <c r="O24" s="1">
        <f t="shared" ca="1" si="2"/>
        <v>0.65275146161989173</v>
      </c>
      <c r="Q24" s="60">
        <f t="shared" si="3"/>
        <v>40603.789929999999</v>
      </c>
    </row>
    <row r="25" spans="1:21" x14ac:dyDescent="0.2">
      <c r="A25" s="33" t="s">
        <v>50</v>
      </c>
      <c r="B25" s="34" t="s">
        <v>47</v>
      </c>
      <c r="C25" s="35">
        <v>55627.667099999999</v>
      </c>
      <c r="D25" s="35">
        <v>2.0000000000000001E-4</v>
      </c>
      <c r="E25" s="1">
        <f t="shared" si="0"/>
        <v>8605.3372200061258</v>
      </c>
      <c r="F25" s="36">
        <f t="shared" si="4"/>
        <v>8604</v>
      </c>
      <c r="G25" s="1">
        <f t="shared" si="1"/>
        <v>0.65369999999529682</v>
      </c>
      <c r="J25" s="1">
        <f>+G25</f>
        <v>0.65369999999529682</v>
      </c>
      <c r="O25" s="1">
        <f t="shared" ca="1" si="2"/>
        <v>0.65348242177157478</v>
      </c>
      <c r="Q25" s="60">
        <f t="shared" si="3"/>
        <v>40609.167099999999</v>
      </c>
    </row>
    <row r="26" spans="1:21" x14ac:dyDescent="0.2">
      <c r="A26" s="33" t="s">
        <v>51</v>
      </c>
      <c r="B26" s="34" t="s">
        <v>47</v>
      </c>
      <c r="C26" s="35">
        <v>55628.399839999998</v>
      </c>
      <c r="D26" s="35">
        <v>1E-4</v>
      </c>
      <c r="E26" s="1">
        <f t="shared" si="0"/>
        <v>8606.8361256008884</v>
      </c>
      <c r="F26" s="36">
        <f t="shared" si="4"/>
        <v>8605.5</v>
      </c>
      <c r="G26" s="1">
        <f t="shared" si="1"/>
        <v>0.65316499999607913</v>
      </c>
      <c r="K26" s="1">
        <f t="shared" ref="K26:K40" si="5">+G26</f>
        <v>0.65316499999607913</v>
      </c>
      <c r="O26" s="1">
        <f t="shared" ca="1" si="2"/>
        <v>0.6535820981558953</v>
      </c>
      <c r="Q26" s="60">
        <f t="shared" si="3"/>
        <v>40609.899839999998</v>
      </c>
    </row>
    <row r="27" spans="1:21" x14ac:dyDescent="0.2">
      <c r="A27" s="33" t="s">
        <v>51</v>
      </c>
      <c r="B27" s="34" t="s">
        <v>49</v>
      </c>
      <c r="C27" s="35">
        <v>55676.560120000002</v>
      </c>
      <c r="D27" s="35">
        <v>2.0000000000000001E-4</v>
      </c>
      <c r="E27" s="1">
        <f t="shared" si="0"/>
        <v>8705.3536258565982</v>
      </c>
      <c r="F27" s="36">
        <f t="shared" si="4"/>
        <v>8704</v>
      </c>
      <c r="G27" s="1">
        <f t="shared" si="1"/>
        <v>0.66171999999642139</v>
      </c>
      <c r="K27" s="1">
        <f t="shared" si="5"/>
        <v>0.66171999999642139</v>
      </c>
      <c r="O27" s="1">
        <f t="shared" ca="1" si="2"/>
        <v>0.66012751405960324</v>
      </c>
      <c r="Q27" s="60">
        <f t="shared" si="3"/>
        <v>40658.060120000002</v>
      </c>
    </row>
    <row r="28" spans="1:21" x14ac:dyDescent="0.2">
      <c r="A28" s="33" t="s">
        <v>51</v>
      </c>
      <c r="B28" s="34" t="s">
        <v>49</v>
      </c>
      <c r="C28" s="35">
        <v>55683.405709999999</v>
      </c>
      <c r="D28" s="35">
        <v>2.0000000000000001E-4</v>
      </c>
      <c r="E28" s="1">
        <f t="shared" si="0"/>
        <v>8719.3570829497694</v>
      </c>
      <c r="F28" s="36">
        <f t="shared" si="4"/>
        <v>8718</v>
      </c>
      <c r="G28" s="1">
        <f t="shared" si="1"/>
        <v>0.66340999999374617</v>
      </c>
      <c r="K28" s="1">
        <f t="shared" si="5"/>
        <v>0.66340999999374617</v>
      </c>
      <c r="O28" s="1">
        <f t="shared" ca="1" si="2"/>
        <v>0.66105782697992721</v>
      </c>
      <c r="Q28" s="60">
        <f t="shared" si="3"/>
        <v>40664.905709999999</v>
      </c>
    </row>
    <row r="29" spans="1:21" x14ac:dyDescent="0.2">
      <c r="A29" s="33" t="s">
        <v>51</v>
      </c>
      <c r="B29" s="34" t="s">
        <v>47</v>
      </c>
      <c r="C29" s="35">
        <v>55689.515229999997</v>
      </c>
      <c r="D29" s="35">
        <v>2.9999999999999997E-4</v>
      </c>
      <c r="E29" s="1">
        <f t="shared" si="0"/>
        <v>8731.8548225426875</v>
      </c>
      <c r="F29" s="36">
        <f t="shared" si="4"/>
        <v>8730.5</v>
      </c>
      <c r="G29" s="1">
        <f t="shared" si="1"/>
        <v>0.662304999990738</v>
      </c>
      <c r="K29" s="1">
        <f t="shared" si="5"/>
        <v>0.662304999990738</v>
      </c>
      <c r="O29" s="1">
        <f t="shared" ca="1" si="2"/>
        <v>0.66188846351593078</v>
      </c>
      <c r="Q29" s="60">
        <f t="shared" si="3"/>
        <v>40671.015229999997</v>
      </c>
    </row>
    <row r="30" spans="1:21" x14ac:dyDescent="0.2">
      <c r="A30" s="33" t="s">
        <v>51</v>
      </c>
      <c r="B30" s="34" t="s">
        <v>47</v>
      </c>
      <c r="C30" s="35">
        <v>55712.494590000002</v>
      </c>
      <c r="D30" s="35">
        <v>4.0000000000000002E-4</v>
      </c>
      <c r="E30" s="1">
        <f t="shared" si="0"/>
        <v>8778.8617980975723</v>
      </c>
      <c r="F30" s="36">
        <f t="shared" si="4"/>
        <v>8777.5</v>
      </c>
      <c r="G30" s="1">
        <f t="shared" si="1"/>
        <v>0.66571499999554362</v>
      </c>
      <c r="K30" s="1">
        <f t="shared" si="5"/>
        <v>0.66571499999554362</v>
      </c>
      <c r="O30" s="1">
        <f t="shared" ca="1" si="2"/>
        <v>0.66501165689130404</v>
      </c>
      <c r="Q30" s="60">
        <f t="shared" si="3"/>
        <v>40693.994590000002</v>
      </c>
    </row>
    <row r="31" spans="1:21" x14ac:dyDescent="0.2">
      <c r="A31" s="33" t="s">
        <v>51</v>
      </c>
      <c r="B31" s="34" t="s">
        <v>47</v>
      </c>
      <c r="C31" s="35">
        <v>55712.49523</v>
      </c>
      <c r="D31" s="35">
        <v>2.9999999999999997E-4</v>
      </c>
      <c r="E31" s="1">
        <f t="shared" si="0"/>
        <v>8778.8631072926182</v>
      </c>
      <c r="F31" s="36">
        <f t="shared" si="4"/>
        <v>8777.5</v>
      </c>
      <c r="G31" s="1">
        <f t="shared" si="1"/>
        <v>0.66635499999392778</v>
      </c>
      <c r="K31" s="1">
        <f t="shared" si="5"/>
        <v>0.66635499999392778</v>
      </c>
      <c r="O31" s="1">
        <f t="shared" ca="1" si="2"/>
        <v>0.66501165689130404</v>
      </c>
      <c r="Q31" s="60">
        <f t="shared" si="3"/>
        <v>40693.99523</v>
      </c>
    </row>
    <row r="32" spans="1:21" x14ac:dyDescent="0.2">
      <c r="A32" s="33" t="s">
        <v>51</v>
      </c>
      <c r="B32" s="34" t="s">
        <v>47</v>
      </c>
      <c r="C32" s="35">
        <v>55712.495799999997</v>
      </c>
      <c r="D32" s="35">
        <v>4.0000000000000002E-4</v>
      </c>
      <c r="E32" s="1">
        <f t="shared" si="0"/>
        <v>8778.8642732944518</v>
      </c>
      <c r="F32" s="36">
        <f t="shared" si="4"/>
        <v>8777.5</v>
      </c>
      <c r="G32" s="1">
        <f t="shared" si="1"/>
        <v>0.6669249999904423</v>
      </c>
      <c r="K32" s="1">
        <f t="shared" si="5"/>
        <v>0.6669249999904423</v>
      </c>
      <c r="O32" s="1">
        <f t="shared" ca="1" si="2"/>
        <v>0.66501165689130404</v>
      </c>
      <c r="Q32" s="60">
        <f t="shared" si="3"/>
        <v>40693.995799999997</v>
      </c>
    </row>
    <row r="33" spans="1:17" x14ac:dyDescent="0.2">
      <c r="A33" s="33" t="s">
        <v>51</v>
      </c>
      <c r="B33" s="34" t="s">
        <v>47</v>
      </c>
      <c r="C33" s="35">
        <v>55796.59001</v>
      </c>
      <c r="D33" s="35">
        <v>8.0000000000000004E-4</v>
      </c>
      <c r="E33" s="1">
        <f t="shared" si="0"/>
        <v>8950.8888411578118</v>
      </c>
      <c r="F33" s="36">
        <f t="shared" si="4"/>
        <v>8949.5</v>
      </c>
      <c r="G33" s="1">
        <f t="shared" si="1"/>
        <v>0.67893499999627238</v>
      </c>
      <c r="K33" s="1">
        <f t="shared" si="5"/>
        <v>0.67893499999627238</v>
      </c>
      <c r="O33" s="1">
        <f t="shared" ca="1" si="2"/>
        <v>0.67644121562671289</v>
      </c>
      <c r="Q33" s="60">
        <f t="shared" si="3"/>
        <v>40778.09001</v>
      </c>
    </row>
    <row r="34" spans="1:17" x14ac:dyDescent="0.2">
      <c r="A34" s="33" t="s">
        <v>51</v>
      </c>
      <c r="B34" s="34" t="s">
        <v>47</v>
      </c>
      <c r="C34" s="35">
        <v>55796.594729999997</v>
      </c>
      <c r="D34" s="35">
        <v>6.9999999999999999E-4</v>
      </c>
      <c r="E34" s="1">
        <f t="shared" ref="E34:E42" si="6">+(C34-C$7)/C$8</f>
        <v>8950.8984964712963</v>
      </c>
      <c r="F34" s="36">
        <f t="shared" ref="F34:F42" si="7">ROUND(2*E34,0)/2-1.5</f>
        <v>8949.5</v>
      </c>
      <c r="G34" s="1">
        <f t="shared" ref="G34:G43" si="8">+C34-(C$7+F34*C$8)</f>
        <v>0.68365499999345047</v>
      </c>
      <c r="K34" s="1">
        <f t="shared" si="5"/>
        <v>0.68365499999345047</v>
      </c>
      <c r="O34" s="1">
        <f t="shared" ref="O34:O42" ca="1" si="9">+C$11+C$12*$F34</f>
        <v>0.67644121562671289</v>
      </c>
      <c r="Q34" s="60">
        <f t="shared" ref="Q34:Q42" si="10">+C34-15018.5</f>
        <v>40778.094729999997</v>
      </c>
    </row>
    <row r="35" spans="1:17" x14ac:dyDescent="0.2">
      <c r="A35" s="33" t="s">
        <v>51</v>
      </c>
      <c r="B35" s="34" t="s">
        <v>47</v>
      </c>
      <c r="C35" s="35">
        <v>56045.454469999997</v>
      </c>
      <c r="D35" s="35">
        <v>5.0000000000000001E-4</v>
      </c>
      <c r="E35" s="1">
        <f t="shared" si="6"/>
        <v>9459.9702771811244</v>
      </c>
      <c r="F35" s="36">
        <f t="shared" si="7"/>
        <v>9458.5</v>
      </c>
      <c r="G35" s="1">
        <f t="shared" si="8"/>
        <v>0.71874499999103136</v>
      </c>
      <c r="K35" s="1">
        <f t="shared" si="5"/>
        <v>0.71874499999103136</v>
      </c>
      <c r="O35" s="1">
        <f t="shared" ca="1" si="9"/>
        <v>0.71026473537277734</v>
      </c>
      <c r="Q35" s="60">
        <f t="shared" si="10"/>
        <v>41026.954469999997</v>
      </c>
    </row>
    <row r="36" spans="1:17" x14ac:dyDescent="0.2">
      <c r="A36" s="33" t="s">
        <v>51</v>
      </c>
      <c r="B36" s="34" t="s">
        <v>47</v>
      </c>
      <c r="C36" s="35">
        <v>56045.454940000003</v>
      </c>
      <c r="D36" s="35">
        <v>5.9999999999999995E-4</v>
      </c>
      <c r="E36" s="1">
        <f t="shared" si="6"/>
        <v>9459.9712386212523</v>
      </c>
      <c r="F36" s="36">
        <f t="shared" si="7"/>
        <v>9458.5</v>
      </c>
      <c r="G36" s="1">
        <f t="shared" si="8"/>
        <v>0.71921499999734806</v>
      </c>
      <c r="K36" s="1">
        <f t="shared" si="5"/>
        <v>0.71921499999734806</v>
      </c>
      <c r="O36" s="1">
        <f t="shared" ca="1" si="9"/>
        <v>0.71026473537277734</v>
      </c>
      <c r="Q36" s="60">
        <f t="shared" si="10"/>
        <v>41026.954940000003</v>
      </c>
    </row>
    <row r="37" spans="1:17" x14ac:dyDescent="0.2">
      <c r="A37" s="33" t="s">
        <v>51</v>
      </c>
      <c r="B37" s="34" t="s">
        <v>47</v>
      </c>
      <c r="C37" s="35">
        <v>56045.455179999997</v>
      </c>
      <c r="D37" s="35">
        <v>5.9999999999999995E-4</v>
      </c>
      <c r="E37" s="1">
        <f t="shared" si="6"/>
        <v>9459.9717295693845</v>
      </c>
      <c r="F37" s="36">
        <f t="shared" si="7"/>
        <v>9458.5</v>
      </c>
      <c r="G37" s="1">
        <f t="shared" si="8"/>
        <v>0.71945499999128515</v>
      </c>
      <c r="K37" s="1">
        <f t="shared" si="5"/>
        <v>0.71945499999128515</v>
      </c>
      <c r="O37" s="1">
        <f t="shared" ca="1" si="9"/>
        <v>0.71026473537277734</v>
      </c>
      <c r="Q37" s="60">
        <f t="shared" si="10"/>
        <v>41026.955179999997</v>
      </c>
    </row>
    <row r="38" spans="1:17" x14ac:dyDescent="0.2">
      <c r="A38" s="33" t="s">
        <v>51</v>
      </c>
      <c r="B38" s="34" t="s">
        <v>47</v>
      </c>
      <c r="C38" s="35">
        <v>56045.456200000001</v>
      </c>
      <c r="D38" s="35">
        <v>1E-3</v>
      </c>
      <c r="E38" s="1">
        <f t="shared" si="6"/>
        <v>9459.973816099</v>
      </c>
      <c r="F38" s="36">
        <f t="shared" si="7"/>
        <v>9458.5</v>
      </c>
      <c r="G38" s="1">
        <f t="shared" si="8"/>
        <v>0.72047499999462161</v>
      </c>
      <c r="K38" s="1">
        <f t="shared" si="5"/>
        <v>0.72047499999462161</v>
      </c>
      <c r="O38" s="1">
        <f t="shared" ca="1" si="9"/>
        <v>0.71026473537277734</v>
      </c>
      <c r="Q38" s="60">
        <f t="shared" si="10"/>
        <v>41026.956200000001</v>
      </c>
    </row>
    <row r="39" spans="1:17" x14ac:dyDescent="0.2">
      <c r="A39" s="33" t="s">
        <v>51</v>
      </c>
      <c r="B39" s="34" t="s">
        <v>49</v>
      </c>
      <c r="C39" s="35">
        <v>56145.44081</v>
      </c>
      <c r="D39" s="35">
        <v>5.0000000000000001E-3</v>
      </c>
      <c r="E39" s="1">
        <f t="shared" si="6"/>
        <v>9664.5040605502636</v>
      </c>
      <c r="F39" s="36">
        <f t="shared" si="7"/>
        <v>9663</v>
      </c>
      <c r="G39" s="1">
        <f t="shared" si="8"/>
        <v>0.73525999999401392</v>
      </c>
      <c r="K39" s="1">
        <f t="shared" si="5"/>
        <v>0.73525999999401392</v>
      </c>
      <c r="O39" s="1">
        <f t="shared" ca="1" si="9"/>
        <v>0.72385394910179546</v>
      </c>
      <c r="Q39" s="60">
        <f t="shared" si="10"/>
        <v>41126.94081</v>
      </c>
    </row>
    <row r="40" spans="1:17" x14ac:dyDescent="0.2">
      <c r="A40" s="33" t="s">
        <v>51</v>
      </c>
      <c r="B40" s="34" t="s">
        <v>47</v>
      </c>
      <c r="C40" s="35">
        <v>56155.46344</v>
      </c>
      <c r="D40" s="35">
        <v>8.0000000000000004E-4</v>
      </c>
      <c r="E40" s="1">
        <f t="shared" si="6"/>
        <v>9685.0065255190657</v>
      </c>
      <c r="F40" s="36">
        <f t="shared" si="7"/>
        <v>9683.5</v>
      </c>
      <c r="G40" s="1">
        <f t="shared" si="8"/>
        <v>0.73646499999449588</v>
      </c>
      <c r="K40" s="1">
        <f t="shared" si="5"/>
        <v>0.73646499999449588</v>
      </c>
      <c r="O40" s="1">
        <f t="shared" ca="1" si="9"/>
        <v>0.72521619302084128</v>
      </c>
      <c r="Q40" s="60">
        <f t="shared" si="10"/>
        <v>41136.96344</v>
      </c>
    </row>
    <row r="41" spans="1:17" x14ac:dyDescent="0.2">
      <c r="A41" s="35" t="s">
        <v>52</v>
      </c>
      <c r="B41" s="34"/>
      <c r="C41" s="35">
        <v>56713.568599999999</v>
      </c>
      <c r="D41" s="35">
        <v>2.9999999999999997E-4</v>
      </c>
      <c r="E41" s="1">
        <f t="shared" si="6"/>
        <v>10826.676076506075</v>
      </c>
      <c r="F41" s="36">
        <f t="shared" si="7"/>
        <v>10825</v>
      </c>
      <c r="G41" s="1">
        <f t="shared" si="8"/>
        <v>0.81934999999066349</v>
      </c>
      <c r="J41" s="1">
        <f>+G41</f>
        <v>0.81934999999066349</v>
      </c>
      <c r="O41" s="1">
        <f t="shared" ca="1" si="9"/>
        <v>0.80106992148868528</v>
      </c>
      <c r="Q41" s="60">
        <f t="shared" si="10"/>
        <v>41695.068599999999</v>
      </c>
    </row>
    <row r="42" spans="1:17" x14ac:dyDescent="0.2">
      <c r="A42" s="37" t="s">
        <v>53</v>
      </c>
      <c r="B42" s="38" t="s">
        <v>49</v>
      </c>
      <c r="C42" s="37">
        <v>56734.6014</v>
      </c>
      <c r="D42" s="37">
        <v>2.0999999999999999E-3</v>
      </c>
      <c r="E42" s="1">
        <f t="shared" si="6"/>
        <v>10869.701135317573</v>
      </c>
      <c r="F42" s="36">
        <f t="shared" si="7"/>
        <v>10868</v>
      </c>
      <c r="G42" s="1">
        <f t="shared" si="8"/>
        <v>0.83159999999770662</v>
      </c>
      <c r="J42" s="1">
        <f>+G42</f>
        <v>0.83159999999770662</v>
      </c>
      <c r="O42" s="1">
        <f t="shared" ca="1" si="9"/>
        <v>0.80392731117253746</v>
      </c>
      <c r="Q42" s="60">
        <f t="shared" si="10"/>
        <v>41716.1014</v>
      </c>
    </row>
    <row r="43" spans="1:17" x14ac:dyDescent="0.2">
      <c r="A43" s="39" t="s">
        <v>54</v>
      </c>
      <c r="B43" s="40" t="s">
        <v>47</v>
      </c>
      <c r="C43" s="41">
        <v>57510.507579999998</v>
      </c>
      <c r="D43" s="41">
        <v>1.2999999999999999E-3</v>
      </c>
      <c r="E43" s="1">
        <f t="shared" ref="E43:E50" si="11">+(C43-C$7)/C$8</f>
        <v>12456.908213153307</v>
      </c>
      <c r="F43" s="36">
        <f t="shared" ref="F43:F50" si="12">ROUND(2*E43,0)/2-2</f>
        <v>12455</v>
      </c>
      <c r="G43" s="1">
        <f t="shared" si="8"/>
        <v>0.93282999999064486</v>
      </c>
      <c r="K43" s="1">
        <f t="shared" ref="K43:K50" si="13">G43</f>
        <v>0.93282999999064486</v>
      </c>
      <c r="O43" s="1">
        <f t="shared" ref="O43:O50" ca="1" si="14">+C$11+C$12*$F43</f>
        <v>0.90938492578354801</v>
      </c>
      <c r="Q43" s="60">
        <f t="shared" ref="Q43:Q50" si="15">+C43-15018.5</f>
        <v>42492.007579999998</v>
      </c>
    </row>
    <row r="44" spans="1:17" x14ac:dyDescent="0.2">
      <c r="A44" s="42" t="s">
        <v>55</v>
      </c>
      <c r="B44" s="43" t="s">
        <v>49</v>
      </c>
      <c r="C44" s="44">
        <v>57815.353499999997</v>
      </c>
      <c r="D44" s="44">
        <v>1.8E-3</v>
      </c>
      <c r="E44" s="1">
        <f t="shared" si="11"/>
        <v>13080.506290273077</v>
      </c>
      <c r="F44" s="64">
        <f t="shared" si="12"/>
        <v>13078.5</v>
      </c>
      <c r="G44" s="1">
        <f t="shared" ref="G44:G50" si="16">+C44-(C$7+F44*C$8)</f>
        <v>0.9807749999963562</v>
      </c>
      <c r="K44" s="1">
        <f t="shared" si="13"/>
        <v>0.9807749999963562</v>
      </c>
      <c r="O44" s="1">
        <f t="shared" ca="1" si="14"/>
        <v>0.95081707619940503</v>
      </c>
      <c r="Q44" s="60">
        <f t="shared" si="15"/>
        <v>42796.853499999997</v>
      </c>
    </row>
    <row r="45" spans="1:17" x14ac:dyDescent="0.2">
      <c r="A45" s="42" t="s">
        <v>55</v>
      </c>
      <c r="B45" s="43" t="s">
        <v>49</v>
      </c>
      <c r="C45" s="44">
        <v>57844.440999999999</v>
      </c>
      <c r="D45" s="44">
        <v>1.5E-3</v>
      </c>
      <c r="E45" s="1">
        <f t="shared" si="11"/>
        <v>13140.00818246905</v>
      </c>
      <c r="F45" s="64">
        <f t="shared" si="12"/>
        <v>13138</v>
      </c>
      <c r="G45" s="1">
        <f t="shared" si="16"/>
        <v>0.9816999999966356</v>
      </c>
      <c r="K45" s="1">
        <f t="shared" si="13"/>
        <v>0.9816999999966356</v>
      </c>
      <c r="O45" s="1">
        <f t="shared" ca="1" si="14"/>
        <v>0.95477090611078186</v>
      </c>
      <c r="Q45" s="60">
        <f t="shared" si="15"/>
        <v>42825.940999999999</v>
      </c>
    </row>
    <row r="46" spans="1:17" x14ac:dyDescent="0.2">
      <c r="A46" s="45" t="s">
        <v>56</v>
      </c>
      <c r="B46" s="46" t="s">
        <v>49</v>
      </c>
      <c r="C46" s="47">
        <v>57760.342900000047</v>
      </c>
      <c r="D46" s="47">
        <v>4.0000000000000002E-4</v>
      </c>
      <c r="E46" s="1">
        <f t="shared" si="11"/>
        <v>12967.975657154635</v>
      </c>
      <c r="F46" s="64">
        <f t="shared" si="12"/>
        <v>12966</v>
      </c>
      <c r="G46" s="1">
        <f t="shared" si="16"/>
        <v>0.96580000004178146</v>
      </c>
      <c r="K46" s="1">
        <f t="shared" si="13"/>
        <v>0.96580000004178146</v>
      </c>
      <c r="O46" s="1">
        <f t="shared" ca="1" si="14"/>
        <v>0.94334134737537312</v>
      </c>
      <c r="Q46" s="60">
        <f t="shared" si="15"/>
        <v>42741.842900000047</v>
      </c>
    </row>
    <row r="47" spans="1:17" x14ac:dyDescent="0.2">
      <c r="A47" s="45" t="s">
        <v>56</v>
      </c>
      <c r="B47" s="46" t="s">
        <v>49</v>
      </c>
      <c r="C47" s="47">
        <v>57776.479110000189</v>
      </c>
      <c r="D47" s="47">
        <v>2.9999999999999997E-4</v>
      </c>
      <c r="E47" s="1">
        <f t="shared" si="11"/>
        <v>13000.984166922748</v>
      </c>
      <c r="F47" s="64">
        <f t="shared" si="12"/>
        <v>12999</v>
      </c>
      <c r="G47" s="1">
        <f t="shared" si="16"/>
        <v>0.96996000018407358</v>
      </c>
      <c r="K47" s="1">
        <f t="shared" si="13"/>
        <v>0.96996000018407358</v>
      </c>
      <c r="O47" s="1">
        <f t="shared" ca="1" si="14"/>
        <v>0.9455342278304224</v>
      </c>
      <c r="Q47" s="60">
        <f t="shared" si="15"/>
        <v>42757.979110000189</v>
      </c>
    </row>
    <row r="48" spans="1:17" x14ac:dyDescent="0.2">
      <c r="A48" s="45" t="s">
        <v>56</v>
      </c>
      <c r="B48" s="46" t="s">
        <v>49</v>
      </c>
      <c r="C48" s="47">
        <v>57776.479139999952</v>
      </c>
      <c r="D48" s="47">
        <v>5.0000000000000001E-4</v>
      </c>
      <c r="E48" s="1">
        <f t="shared" si="11"/>
        <v>13000.984228290781</v>
      </c>
      <c r="F48" s="64">
        <f t="shared" si="12"/>
        <v>12999</v>
      </c>
      <c r="G48" s="1">
        <f t="shared" si="16"/>
        <v>0.96998999994684709</v>
      </c>
      <c r="K48" s="1">
        <f t="shared" si="13"/>
        <v>0.96998999994684709</v>
      </c>
      <c r="O48" s="1">
        <f t="shared" ca="1" si="14"/>
        <v>0.9455342278304224</v>
      </c>
      <c r="Q48" s="60">
        <f t="shared" si="15"/>
        <v>42757.979139999952</v>
      </c>
    </row>
    <row r="49" spans="1:17" x14ac:dyDescent="0.2">
      <c r="A49" s="45" t="s">
        <v>56</v>
      </c>
      <c r="B49" s="46" t="s">
        <v>47</v>
      </c>
      <c r="C49" s="47">
        <v>57917.529819999821</v>
      </c>
      <c r="D49" s="47">
        <v>4.0000000000000002E-4</v>
      </c>
      <c r="E49" s="1">
        <f t="shared" si="11"/>
        <v>13289.519934539874</v>
      </c>
      <c r="F49" s="64">
        <f t="shared" si="12"/>
        <v>13287.5</v>
      </c>
      <c r="G49" s="1">
        <f t="shared" si="16"/>
        <v>0.98744499981694389</v>
      </c>
      <c r="K49" s="1">
        <f t="shared" si="13"/>
        <v>0.98744499981694389</v>
      </c>
      <c r="O49" s="1">
        <f t="shared" ca="1" si="14"/>
        <v>0.96470531908138435</v>
      </c>
      <c r="Q49" s="60">
        <f t="shared" si="15"/>
        <v>42899.029819999821</v>
      </c>
    </row>
    <row r="50" spans="1:17" x14ac:dyDescent="0.2">
      <c r="A50" s="45" t="s">
        <v>56</v>
      </c>
      <c r="B50" s="46" t="s">
        <v>49</v>
      </c>
      <c r="C50" s="47">
        <v>58080.581770000048</v>
      </c>
      <c r="D50" s="47">
        <v>2.9999999999999997E-4</v>
      </c>
      <c r="E50" s="1">
        <f t="shared" si="11"/>
        <v>13623.061818553839</v>
      </c>
      <c r="F50" s="64">
        <f t="shared" si="12"/>
        <v>13621</v>
      </c>
      <c r="G50" s="1">
        <f t="shared" si="16"/>
        <v>1.0079200000473065</v>
      </c>
      <c r="K50" s="1">
        <f t="shared" si="13"/>
        <v>1.0079200000473065</v>
      </c>
      <c r="O50" s="1">
        <f t="shared" ca="1" si="14"/>
        <v>0.98686670186195902</v>
      </c>
      <c r="Q50" s="60">
        <f t="shared" si="15"/>
        <v>43062.081770000048</v>
      </c>
    </row>
    <row r="51" spans="1:17" x14ac:dyDescent="0.2">
      <c r="A51" s="61" t="s">
        <v>155</v>
      </c>
      <c r="B51" s="62" t="s">
        <v>49</v>
      </c>
      <c r="C51" s="63">
        <v>59330.489699999998</v>
      </c>
      <c r="D51" s="61">
        <v>1.4E-3</v>
      </c>
      <c r="E51" s="1">
        <f t="shared" ref="E51" si="17">+(C51-C$7)/C$8</f>
        <v>16179.895059834293</v>
      </c>
      <c r="F51" s="64">
        <f t="shared" ref="F51" si="18">ROUND(2*E51,0)/2-2</f>
        <v>16178</v>
      </c>
      <c r="G51" s="1">
        <f t="shared" ref="G51" si="19">+C51-(C$7+F51*C$8)</f>
        <v>0.92639999999664724</v>
      </c>
      <c r="K51" s="1">
        <f t="shared" ref="K51" si="20">G51</f>
        <v>0.92639999999664724</v>
      </c>
      <c r="O51" s="1">
        <f t="shared" ref="O51" ca="1" si="21">+C$11+C$12*$F51</f>
        <v>1.1567817116668448</v>
      </c>
      <c r="Q51" s="60">
        <f t="shared" ref="Q51" si="22">+C51-15018.5</f>
        <v>44311.989699999998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topLeftCell="A8" workbookViewId="0">
      <selection activeCell="A30" sqref="A30"/>
    </sheetView>
  </sheetViews>
  <sheetFormatPr defaultRowHeight="12.75" x14ac:dyDescent="0.2"/>
  <cols>
    <col min="1" max="1" width="19.7109375" style="9" customWidth="1"/>
    <col min="2" max="2" width="4.42578125" customWidth="1"/>
    <col min="3" max="3" width="12.7109375" style="9" customWidth="1"/>
    <col min="4" max="4" width="5.42578125" customWidth="1"/>
    <col min="5" max="5" width="14.85546875" customWidth="1"/>
    <col min="7" max="7" width="12" customWidth="1"/>
    <col min="8" max="8" width="14.140625" style="9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8" t="s">
        <v>57</v>
      </c>
      <c r="I1" s="49" t="s">
        <v>58</v>
      </c>
      <c r="J1" s="50" t="s">
        <v>38</v>
      </c>
    </row>
    <row r="2" spans="1:16" x14ac:dyDescent="0.2">
      <c r="I2" s="51" t="s">
        <v>59</v>
      </c>
      <c r="J2" s="52" t="s">
        <v>37</v>
      </c>
    </row>
    <row r="3" spans="1:16" x14ac:dyDescent="0.2">
      <c r="A3" s="53" t="s">
        <v>60</v>
      </c>
      <c r="I3" s="51" t="s">
        <v>61</v>
      </c>
      <c r="J3" s="52" t="s">
        <v>35</v>
      </c>
    </row>
    <row r="4" spans="1:16" x14ac:dyDescent="0.2">
      <c r="I4" s="51" t="s">
        <v>62</v>
      </c>
      <c r="J4" s="52" t="s">
        <v>35</v>
      </c>
    </row>
    <row r="5" spans="1:16" x14ac:dyDescent="0.2">
      <c r="I5" s="54" t="s">
        <v>63</v>
      </c>
      <c r="J5" s="55" t="s">
        <v>36</v>
      </c>
    </row>
    <row r="11" spans="1:16" ht="12.75" customHeight="1" x14ac:dyDescent="0.2">
      <c r="A11" s="9" t="str">
        <f t="shared" ref="A11:A31" si="0">P11</f>
        <v>BAVM 220 </v>
      </c>
      <c r="B11" s="22" t="str">
        <f t="shared" ref="B11:B31" si="1">IF(H11=INT(H11),"I","II")</f>
        <v>I</v>
      </c>
      <c r="C11" s="9">
        <f t="shared" ref="C11:C31" si="2">1*G11</f>
        <v>55244.592100000002</v>
      </c>
      <c r="D11" t="str">
        <f t="shared" ref="D11:D31" si="3">VLOOKUP(F11,I$1:J$5,2,FALSE)</f>
        <v>vis</v>
      </c>
      <c r="E11">
        <f>VLOOKUP(C11,Active!C$21:E$973,3,FALSE)</f>
        <v>7821.7123862125345</v>
      </c>
      <c r="F11" s="22" t="s">
        <v>63</v>
      </c>
      <c r="G11" t="str">
        <f t="shared" ref="G11:G31" si="4">MID(I11,3,LEN(I11)-3)</f>
        <v>55244.5921</v>
      </c>
      <c r="H11" s="9">
        <f t="shared" ref="H11:H31" si="5">1*K11</f>
        <v>7822</v>
      </c>
      <c r="I11" s="56" t="s">
        <v>64</v>
      </c>
      <c r="J11" s="57" t="s">
        <v>65</v>
      </c>
      <c r="K11" s="56">
        <v>7822</v>
      </c>
      <c r="L11" s="56" t="s">
        <v>66</v>
      </c>
      <c r="M11" s="57" t="s">
        <v>67</v>
      </c>
      <c r="N11" s="57" t="s">
        <v>68</v>
      </c>
      <c r="O11" s="58" t="s">
        <v>69</v>
      </c>
      <c r="P11" s="59" t="s">
        <v>70</v>
      </c>
    </row>
    <row r="12" spans="1:16" ht="12.75" customHeight="1" x14ac:dyDescent="0.2">
      <c r="A12" s="9" t="str">
        <f t="shared" si="0"/>
        <v>BAVM 231 </v>
      </c>
      <c r="B12" s="22" t="str">
        <f t="shared" si="1"/>
        <v>II</v>
      </c>
      <c r="C12" s="9">
        <f t="shared" si="2"/>
        <v>55627.667099999999</v>
      </c>
      <c r="D12" t="str">
        <f t="shared" si="3"/>
        <v>vis</v>
      </c>
      <c r="E12">
        <f>VLOOKUP(C12,Active!C$21:E$973,3,FALSE)</f>
        <v>8605.3372200061258</v>
      </c>
      <c r="F12" s="22" t="s">
        <v>63</v>
      </c>
      <c r="G12" t="str">
        <f t="shared" si="4"/>
        <v>55627.6671</v>
      </c>
      <c r="H12" s="9">
        <f t="shared" si="5"/>
        <v>8605.5</v>
      </c>
      <c r="I12" s="56" t="s">
        <v>71</v>
      </c>
      <c r="J12" s="57" t="s">
        <v>72</v>
      </c>
      <c r="K12" s="56" t="s">
        <v>73</v>
      </c>
      <c r="L12" s="56" t="s">
        <v>74</v>
      </c>
      <c r="M12" s="57" t="s">
        <v>67</v>
      </c>
      <c r="N12" s="57" t="s">
        <v>68</v>
      </c>
      <c r="O12" s="58" t="s">
        <v>69</v>
      </c>
      <c r="P12" s="59" t="s">
        <v>75</v>
      </c>
    </row>
    <row r="13" spans="1:16" ht="12.75" customHeight="1" x14ac:dyDescent="0.2">
      <c r="A13" s="9" t="str">
        <f t="shared" si="0"/>
        <v>OEJV 0160 </v>
      </c>
      <c r="B13" s="22" t="str">
        <f t="shared" si="1"/>
        <v>I</v>
      </c>
      <c r="C13" s="9">
        <f t="shared" si="2"/>
        <v>55628.399839999998</v>
      </c>
      <c r="D13" t="str">
        <f t="shared" si="3"/>
        <v>vis</v>
      </c>
      <c r="E13">
        <f>VLOOKUP(C13,Active!C$21:E$973,3,FALSE)</f>
        <v>8606.8361256008884</v>
      </c>
      <c r="F13" s="22" t="s">
        <v>63</v>
      </c>
      <c r="G13" t="str">
        <f t="shared" si="4"/>
        <v>55628.39984</v>
      </c>
      <c r="H13" s="9">
        <f t="shared" si="5"/>
        <v>8607</v>
      </c>
      <c r="I13" s="56" t="s">
        <v>76</v>
      </c>
      <c r="J13" s="57" t="s">
        <v>77</v>
      </c>
      <c r="K13" s="56" t="s">
        <v>78</v>
      </c>
      <c r="L13" s="56" t="s">
        <v>79</v>
      </c>
      <c r="M13" s="57" t="s">
        <v>67</v>
      </c>
      <c r="N13" s="57" t="s">
        <v>58</v>
      </c>
      <c r="O13" s="58" t="s">
        <v>80</v>
      </c>
      <c r="P13" s="59" t="s">
        <v>81</v>
      </c>
    </row>
    <row r="14" spans="1:16" ht="12.75" customHeight="1" x14ac:dyDescent="0.2">
      <c r="A14" s="9" t="str">
        <f t="shared" si="0"/>
        <v>OEJV 0160 </v>
      </c>
      <c r="B14" s="22" t="str">
        <f t="shared" si="1"/>
        <v>II</v>
      </c>
      <c r="C14" s="9">
        <f t="shared" si="2"/>
        <v>55676.560120000002</v>
      </c>
      <c r="D14" t="str">
        <f t="shared" si="3"/>
        <v>vis</v>
      </c>
      <c r="E14">
        <f>VLOOKUP(C14,Active!C$21:E$973,3,FALSE)</f>
        <v>8705.3536258565982</v>
      </c>
      <c r="F14" s="22" t="s">
        <v>63</v>
      </c>
      <c r="G14" t="str">
        <f t="shared" si="4"/>
        <v>55676.56012</v>
      </c>
      <c r="H14" s="9">
        <f t="shared" si="5"/>
        <v>8705.5</v>
      </c>
      <c r="I14" s="56" t="s">
        <v>82</v>
      </c>
      <c r="J14" s="57" t="s">
        <v>83</v>
      </c>
      <c r="K14" s="56" t="s">
        <v>84</v>
      </c>
      <c r="L14" s="56" t="s">
        <v>85</v>
      </c>
      <c r="M14" s="57" t="s">
        <v>67</v>
      </c>
      <c r="N14" s="57" t="s">
        <v>58</v>
      </c>
      <c r="O14" s="58" t="s">
        <v>86</v>
      </c>
      <c r="P14" s="59" t="s">
        <v>81</v>
      </c>
    </row>
    <row r="15" spans="1:16" ht="12.75" customHeight="1" x14ac:dyDescent="0.2">
      <c r="A15" s="9" t="str">
        <f t="shared" si="0"/>
        <v>OEJV 0160 </v>
      </c>
      <c r="B15" s="22" t="str">
        <f t="shared" si="1"/>
        <v>II</v>
      </c>
      <c r="C15" s="9">
        <f t="shared" si="2"/>
        <v>55683.405709999999</v>
      </c>
      <c r="D15" t="str">
        <f t="shared" si="3"/>
        <v>vis</v>
      </c>
      <c r="E15">
        <f>VLOOKUP(C15,Active!C$21:E$973,3,FALSE)</f>
        <v>8719.3570829497694</v>
      </c>
      <c r="F15" s="22" t="s">
        <v>63</v>
      </c>
      <c r="G15" t="str">
        <f t="shared" si="4"/>
        <v>55683.40571</v>
      </c>
      <c r="H15" s="9">
        <f t="shared" si="5"/>
        <v>8719.5</v>
      </c>
      <c r="I15" s="56" t="s">
        <v>87</v>
      </c>
      <c r="J15" s="57" t="s">
        <v>88</v>
      </c>
      <c r="K15" s="56" t="s">
        <v>89</v>
      </c>
      <c r="L15" s="56" t="s">
        <v>90</v>
      </c>
      <c r="M15" s="57" t="s">
        <v>67</v>
      </c>
      <c r="N15" s="57" t="s">
        <v>58</v>
      </c>
      <c r="O15" s="58" t="s">
        <v>86</v>
      </c>
      <c r="P15" s="59" t="s">
        <v>81</v>
      </c>
    </row>
    <row r="16" spans="1:16" ht="12.75" customHeight="1" x14ac:dyDescent="0.2">
      <c r="A16" s="9" t="str">
        <f t="shared" si="0"/>
        <v>OEJV 0160 </v>
      </c>
      <c r="B16" s="22" t="str">
        <f t="shared" si="1"/>
        <v>I</v>
      </c>
      <c r="C16" s="9">
        <f t="shared" si="2"/>
        <v>55689.515229999997</v>
      </c>
      <c r="D16" t="str">
        <f t="shared" si="3"/>
        <v>vis</v>
      </c>
      <c r="E16">
        <f>VLOOKUP(C16,Active!C$21:E$973,3,FALSE)</f>
        <v>8731.8548225426875</v>
      </c>
      <c r="F16" s="22" t="s">
        <v>63</v>
      </c>
      <c r="G16" t="str">
        <f t="shared" si="4"/>
        <v>55689.51523</v>
      </c>
      <c r="H16" s="9">
        <f t="shared" si="5"/>
        <v>8732</v>
      </c>
      <c r="I16" s="56" t="s">
        <v>91</v>
      </c>
      <c r="J16" s="57" t="s">
        <v>92</v>
      </c>
      <c r="K16" s="56" t="s">
        <v>93</v>
      </c>
      <c r="L16" s="56" t="s">
        <v>94</v>
      </c>
      <c r="M16" s="57" t="s">
        <v>67</v>
      </c>
      <c r="N16" s="57" t="s">
        <v>95</v>
      </c>
      <c r="O16" s="58" t="s">
        <v>86</v>
      </c>
      <c r="P16" s="59" t="s">
        <v>81</v>
      </c>
    </row>
    <row r="17" spans="1:16" ht="12.75" customHeight="1" x14ac:dyDescent="0.2">
      <c r="A17" s="9" t="str">
        <f t="shared" si="0"/>
        <v>OEJV 0160 </v>
      </c>
      <c r="B17" s="22" t="str">
        <f t="shared" si="1"/>
        <v>I</v>
      </c>
      <c r="C17" s="9">
        <f t="shared" si="2"/>
        <v>55712.494590000002</v>
      </c>
      <c r="D17" t="str">
        <f t="shared" si="3"/>
        <v>vis</v>
      </c>
      <c r="E17">
        <f>VLOOKUP(C17,Active!C$21:E$973,3,FALSE)</f>
        <v>8778.8617980975723</v>
      </c>
      <c r="F17" s="22" t="s">
        <v>63</v>
      </c>
      <c r="G17" t="str">
        <f t="shared" si="4"/>
        <v>55712.49459</v>
      </c>
      <c r="H17" s="9">
        <f t="shared" si="5"/>
        <v>8779</v>
      </c>
      <c r="I17" s="56" t="s">
        <v>96</v>
      </c>
      <c r="J17" s="57" t="s">
        <v>97</v>
      </c>
      <c r="K17" s="56" t="s">
        <v>98</v>
      </c>
      <c r="L17" s="56" t="s">
        <v>99</v>
      </c>
      <c r="M17" s="57" t="s">
        <v>67</v>
      </c>
      <c r="N17" s="57" t="s">
        <v>63</v>
      </c>
      <c r="O17" s="58" t="s">
        <v>86</v>
      </c>
      <c r="P17" s="59" t="s">
        <v>81</v>
      </c>
    </row>
    <row r="18" spans="1:16" ht="12.75" customHeight="1" x14ac:dyDescent="0.2">
      <c r="A18" s="9" t="str">
        <f t="shared" si="0"/>
        <v>OEJV 0160 </v>
      </c>
      <c r="B18" s="22" t="str">
        <f t="shared" si="1"/>
        <v>I</v>
      </c>
      <c r="C18" s="9">
        <f t="shared" si="2"/>
        <v>55712.49523</v>
      </c>
      <c r="D18" t="str">
        <f t="shared" si="3"/>
        <v>vis</v>
      </c>
      <c r="E18">
        <f>VLOOKUP(C18,Active!C$21:E$973,3,FALSE)</f>
        <v>8778.8631072926182</v>
      </c>
      <c r="F18" s="22" t="s">
        <v>63</v>
      </c>
      <c r="G18" t="str">
        <f t="shared" si="4"/>
        <v>55712.49523</v>
      </c>
      <c r="H18" s="9">
        <f t="shared" si="5"/>
        <v>8779</v>
      </c>
      <c r="I18" s="56" t="s">
        <v>100</v>
      </c>
      <c r="J18" s="57" t="s">
        <v>101</v>
      </c>
      <c r="K18" s="56" t="s">
        <v>98</v>
      </c>
      <c r="L18" s="56" t="s">
        <v>102</v>
      </c>
      <c r="M18" s="57" t="s">
        <v>67</v>
      </c>
      <c r="N18" s="57" t="s">
        <v>95</v>
      </c>
      <c r="O18" s="58" t="s">
        <v>86</v>
      </c>
      <c r="P18" s="59" t="s">
        <v>81</v>
      </c>
    </row>
    <row r="19" spans="1:16" ht="12.75" customHeight="1" x14ac:dyDescent="0.2">
      <c r="A19" s="9" t="str">
        <f t="shared" si="0"/>
        <v>OEJV 0160 </v>
      </c>
      <c r="B19" s="22" t="str">
        <f t="shared" si="1"/>
        <v>I</v>
      </c>
      <c r="C19" s="9">
        <f t="shared" si="2"/>
        <v>55712.495799999997</v>
      </c>
      <c r="D19" t="str">
        <f t="shared" si="3"/>
        <v>vis</v>
      </c>
      <c r="E19">
        <f>VLOOKUP(C19,Active!C$21:E$973,3,FALSE)</f>
        <v>8778.8642732944518</v>
      </c>
      <c r="F19" s="22" t="s">
        <v>63</v>
      </c>
      <c r="G19" t="str">
        <f t="shared" si="4"/>
        <v>55712.4958</v>
      </c>
      <c r="H19" s="9">
        <f t="shared" si="5"/>
        <v>8779</v>
      </c>
      <c r="I19" s="56" t="s">
        <v>103</v>
      </c>
      <c r="J19" s="57" t="s">
        <v>101</v>
      </c>
      <c r="K19" s="56" t="s">
        <v>98</v>
      </c>
      <c r="L19" s="56" t="s">
        <v>104</v>
      </c>
      <c r="M19" s="57" t="s">
        <v>67</v>
      </c>
      <c r="N19" s="57" t="s">
        <v>58</v>
      </c>
      <c r="O19" s="58" t="s">
        <v>86</v>
      </c>
      <c r="P19" s="59" t="s">
        <v>81</v>
      </c>
    </row>
    <row r="20" spans="1:16" ht="12.75" customHeight="1" x14ac:dyDescent="0.2">
      <c r="A20" s="9" t="str">
        <f t="shared" si="0"/>
        <v>OEJV 0160 </v>
      </c>
      <c r="B20" s="22" t="str">
        <f t="shared" si="1"/>
        <v>I</v>
      </c>
      <c r="C20" s="9">
        <f t="shared" si="2"/>
        <v>55796.59001</v>
      </c>
      <c r="D20" t="str">
        <f t="shared" si="3"/>
        <v>vis</v>
      </c>
      <c r="E20">
        <f>VLOOKUP(C20,Active!C$21:E$973,3,FALSE)</f>
        <v>8950.8888411578118</v>
      </c>
      <c r="F20" s="22" t="s">
        <v>63</v>
      </c>
      <c r="G20" t="str">
        <f t="shared" si="4"/>
        <v>55796.59001</v>
      </c>
      <c r="H20" s="9">
        <f t="shared" si="5"/>
        <v>8951</v>
      </c>
      <c r="I20" s="56" t="s">
        <v>105</v>
      </c>
      <c r="J20" s="57" t="s">
        <v>106</v>
      </c>
      <c r="K20" s="56" t="s">
        <v>107</v>
      </c>
      <c r="L20" s="56" t="s">
        <v>108</v>
      </c>
      <c r="M20" s="57" t="s">
        <v>67</v>
      </c>
      <c r="N20" s="57" t="s">
        <v>95</v>
      </c>
      <c r="O20" s="58" t="s">
        <v>86</v>
      </c>
      <c r="P20" s="59" t="s">
        <v>81</v>
      </c>
    </row>
    <row r="21" spans="1:16" ht="12.75" customHeight="1" x14ac:dyDescent="0.2">
      <c r="A21" s="9" t="str">
        <f t="shared" si="0"/>
        <v>OEJV 0160 </v>
      </c>
      <c r="B21" s="22" t="str">
        <f t="shared" si="1"/>
        <v>I</v>
      </c>
      <c r="C21" s="9">
        <f t="shared" si="2"/>
        <v>55796.594729999997</v>
      </c>
      <c r="D21" t="str">
        <f t="shared" si="3"/>
        <v>vis</v>
      </c>
      <c r="E21">
        <f>VLOOKUP(C21,Active!C$21:E$973,3,FALSE)</f>
        <v>8950.8984964712963</v>
      </c>
      <c r="F21" s="22" t="s">
        <v>63</v>
      </c>
      <c r="G21" t="str">
        <f t="shared" si="4"/>
        <v>55796.59473</v>
      </c>
      <c r="H21" s="9">
        <f t="shared" si="5"/>
        <v>8951</v>
      </c>
      <c r="I21" s="56" t="s">
        <v>109</v>
      </c>
      <c r="J21" s="57" t="s">
        <v>110</v>
      </c>
      <c r="K21" s="56" t="s">
        <v>107</v>
      </c>
      <c r="L21" s="56" t="s">
        <v>111</v>
      </c>
      <c r="M21" s="57" t="s">
        <v>67</v>
      </c>
      <c r="N21" s="57" t="s">
        <v>58</v>
      </c>
      <c r="O21" s="58" t="s">
        <v>86</v>
      </c>
      <c r="P21" s="59" t="s">
        <v>81</v>
      </c>
    </row>
    <row r="22" spans="1:16" ht="12.75" customHeight="1" x14ac:dyDescent="0.2">
      <c r="A22" s="9" t="str">
        <f t="shared" si="0"/>
        <v>OEJV 0160 </v>
      </c>
      <c r="B22" s="22" t="str">
        <f t="shared" si="1"/>
        <v>I</v>
      </c>
      <c r="C22" s="9">
        <f t="shared" si="2"/>
        <v>56045.454469999997</v>
      </c>
      <c r="D22" t="str">
        <f t="shared" si="3"/>
        <v>vis</v>
      </c>
      <c r="E22">
        <f>VLOOKUP(C22,Active!C$21:E$973,3,FALSE)</f>
        <v>9459.9702771811244</v>
      </c>
      <c r="F22" s="22" t="s">
        <v>63</v>
      </c>
      <c r="G22" t="str">
        <f t="shared" si="4"/>
        <v>56045.45447</v>
      </c>
      <c r="H22" s="9">
        <f t="shared" si="5"/>
        <v>9460</v>
      </c>
      <c r="I22" s="56" t="s">
        <v>112</v>
      </c>
      <c r="J22" s="57" t="s">
        <v>113</v>
      </c>
      <c r="K22" s="56" t="s">
        <v>114</v>
      </c>
      <c r="L22" s="56" t="s">
        <v>115</v>
      </c>
      <c r="M22" s="57" t="s">
        <v>67</v>
      </c>
      <c r="N22" s="57" t="s">
        <v>95</v>
      </c>
      <c r="O22" s="58" t="s">
        <v>86</v>
      </c>
      <c r="P22" s="59" t="s">
        <v>81</v>
      </c>
    </row>
    <row r="23" spans="1:16" ht="12.75" customHeight="1" x14ac:dyDescent="0.2">
      <c r="A23" s="9" t="str">
        <f t="shared" si="0"/>
        <v>OEJV 0160 </v>
      </c>
      <c r="B23" s="22" t="str">
        <f t="shared" si="1"/>
        <v>I</v>
      </c>
      <c r="C23" s="9">
        <f t="shared" si="2"/>
        <v>56045.454940000003</v>
      </c>
      <c r="D23" t="str">
        <f t="shared" si="3"/>
        <v>vis</v>
      </c>
      <c r="E23">
        <f>VLOOKUP(C23,Active!C$21:E$973,3,FALSE)</f>
        <v>9459.9712386212523</v>
      </c>
      <c r="F23" s="22" t="s">
        <v>63</v>
      </c>
      <c r="G23" t="str">
        <f t="shared" si="4"/>
        <v>56045.45494</v>
      </c>
      <c r="H23" s="9">
        <f t="shared" si="5"/>
        <v>9460</v>
      </c>
      <c r="I23" s="56" t="s">
        <v>116</v>
      </c>
      <c r="J23" s="57" t="s">
        <v>117</v>
      </c>
      <c r="K23" s="56" t="s">
        <v>114</v>
      </c>
      <c r="L23" s="56" t="s">
        <v>118</v>
      </c>
      <c r="M23" s="57" t="s">
        <v>67</v>
      </c>
      <c r="N23" s="57" t="s">
        <v>58</v>
      </c>
      <c r="O23" s="58" t="s">
        <v>86</v>
      </c>
      <c r="P23" s="59" t="s">
        <v>81</v>
      </c>
    </row>
    <row r="24" spans="1:16" ht="12.75" customHeight="1" x14ac:dyDescent="0.2">
      <c r="A24" s="9" t="str">
        <f t="shared" si="0"/>
        <v>OEJV 0160 </v>
      </c>
      <c r="B24" s="22" t="str">
        <f t="shared" si="1"/>
        <v>I</v>
      </c>
      <c r="C24" s="9">
        <f t="shared" si="2"/>
        <v>56045.455179999997</v>
      </c>
      <c r="D24" t="str">
        <f t="shared" si="3"/>
        <v>vis</v>
      </c>
      <c r="E24">
        <f>VLOOKUP(C24,Active!C$21:E$973,3,FALSE)</f>
        <v>9459.9717295693845</v>
      </c>
      <c r="F24" s="22" t="s">
        <v>63</v>
      </c>
      <c r="G24" t="str">
        <f t="shared" si="4"/>
        <v>56045.45518</v>
      </c>
      <c r="H24" s="9">
        <f t="shared" si="5"/>
        <v>9460</v>
      </c>
      <c r="I24" s="56" t="s">
        <v>119</v>
      </c>
      <c r="J24" s="57" t="s">
        <v>117</v>
      </c>
      <c r="K24" s="56" t="s">
        <v>114</v>
      </c>
      <c r="L24" s="56" t="s">
        <v>120</v>
      </c>
      <c r="M24" s="57" t="s">
        <v>67</v>
      </c>
      <c r="N24" s="57" t="s">
        <v>63</v>
      </c>
      <c r="O24" s="58" t="s">
        <v>86</v>
      </c>
      <c r="P24" s="59" t="s">
        <v>81</v>
      </c>
    </row>
    <row r="25" spans="1:16" ht="12.75" customHeight="1" x14ac:dyDescent="0.2">
      <c r="A25" s="9" t="str">
        <f t="shared" si="0"/>
        <v>OEJV 0160 </v>
      </c>
      <c r="B25" s="22" t="str">
        <f t="shared" si="1"/>
        <v>I</v>
      </c>
      <c r="C25" s="9">
        <f t="shared" si="2"/>
        <v>56045.456200000001</v>
      </c>
      <c r="D25" t="str">
        <f t="shared" si="3"/>
        <v>vis</v>
      </c>
      <c r="E25">
        <f>VLOOKUP(C25,Active!C$21:E$973,3,FALSE)</f>
        <v>9459.973816099</v>
      </c>
      <c r="F25" s="22" t="s">
        <v>63</v>
      </c>
      <c r="G25" t="str">
        <f t="shared" si="4"/>
        <v>56045.4562</v>
      </c>
      <c r="H25" s="9">
        <f t="shared" si="5"/>
        <v>9460</v>
      </c>
      <c r="I25" s="56" t="s">
        <v>121</v>
      </c>
      <c r="J25" s="57" t="s">
        <v>122</v>
      </c>
      <c r="K25" s="56" t="s">
        <v>114</v>
      </c>
      <c r="L25" s="56" t="s">
        <v>123</v>
      </c>
      <c r="M25" s="57" t="s">
        <v>67</v>
      </c>
      <c r="N25" s="57" t="s">
        <v>124</v>
      </c>
      <c r="O25" s="58" t="s">
        <v>86</v>
      </c>
      <c r="P25" s="59" t="s">
        <v>81</v>
      </c>
    </row>
    <row r="26" spans="1:16" ht="12.75" customHeight="1" x14ac:dyDescent="0.2">
      <c r="A26" s="9" t="str">
        <f t="shared" si="0"/>
        <v>OEJV 0160 </v>
      </c>
      <c r="B26" s="22" t="str">
        <f t="shared" si="1"/>
        <v>II</v>
      </c>
      <c r="C26" s="9">
        <f t="shared" si="2"/>
        <v>56145.44081</v>
      </c>
      <c r="D26" t="str">
        <f t="shared" si="3"/>
        <v>vis</v>
      </c>
      <c r="E26">
        <f>VLOOKUP(C26,Active!C$21:E$973,3,FALSE)</f>
        <v>9664.5040605502636</v>
      </c>
      <c r="F26" s="22" t="s">
        <v>63</v>
      </c>
      <c r="G26" t="str">
        <f t="shared" si="4"/>
        <v>56145.44081</v>
      </c>
      <c r="H26" s="9">
        <f t="shared" si="5"/>
        <v>9664.5</v>
      </c>
      <c r="I26" s="56" t="s">
        <v>125</v>
      </c>
      <c r="J26" s="57" t="s">
        <v>126</v>
      </c>
      <c r="K26" s="56" t="s">
        <v>127</v>
      </c>
      <c r="L26" s="56" t="s">
        <v>128</v>
      </c>
      <c r="M26" s="57" t="s">
        <v>67</v>
      </c>
      <c r="N26" s="57" t="s">
        <v>58</v>
      </c>
      <c r="O26" s="58" t="s">
        <v>129</v>
      </c>
      <c r="P26" s="59" t="s">
        <v>81</v>
      </c>
    </row>
    <row r="27" spans="1:16" ht="12.75" customHeight="1" x14ac:dyDescent="0.2">
      <c r="A27" s="9" t="str">
        <f t="shared" si="0"/>
        <v>OEJV 0160 </v>
      </c>
      <c r="B27" s="22" t="str">
        <f t="shared" si="1"/>
        <v>I</v>
      </c>
      <c r="C27" s="9">
        <f t="shared" si="2"/>
        <v>56155.46344</v>
      </c>
      <c r="D27" t="str">
        <f t="shared" si="3"/>
        <v>vis</v>
      </c>
      <c r="E27">
        <f>VLOOKUP(C27,Active!C$21:E$973,3,FALSE)</f>
        <v>9685.0065255190657</v>
      </c>
      <c r="F27" s="22" t="s">
        <v>63</v>
      </c>
      <c r="G27" t="str">
        <f t="shared" si="4"/>
        <v>56155.46344</v>
      </c>
      <c r="H27" s="9">
        <f t="shared" si="5"/>
        <v>9685</v>
      </c>
      <c r="I27" s="56" t="s">
        <v>130</v>
      </c>
      <c r="J27" s="57" t="s">
        <v>131</v>
      </c>
      <c r="K27" s="56" t="s">
        <v>132</v>
      </c>
      <c r="L27" s="56" t="s">
        <v>133</v>
      </c>
      <c r="M27" s="57" t="s">
        <v>67</v>
      </c>
      <c r="N27" s="57" t="s">
        <v>58</v>
      </c>
      <c r="O27" s="58" t="s">
        <v>129</v>
      </c>
      <c r="P27" s="59" t="s">
        <v>81</v>
      </c>
    </row>
    <row r="28" spans="1:16" ht="12.75" customHeight="1" x14ac:dyDescent="0.2">
      <c r="A28" s="9" t="str">
        <f t="shared" si="0"/>
        <v>BAVM 241 (=IBVS 6157) </v>
      </c>
      <c r="B28" s="22" t="str">
        <f t="shared" si="1"/>
        <v>II</v>
      </c>
      <c r="C28" s="9">
        <f t="shared" si="2"/>
        <v>56713.568599999999</v>
      </c>
      <c r="D28" t="str">
        <f t="shared" si="3"/>
        <v>vis</v>
      </c>
      <c r="E28">
        <f>VLOOKUP(C28,Active!C$21:E$973,3,FALSE)</f>
        <v>10826.676076506075</v>
      </c>
      <c r="F28" s="22" t="s">
        <v>63</v>
      </c>
      <c r="G28" t="str">
        <f t="shared" si="4"/>
        <v>56713.5686</v>
      </c>
      <c r="H28" s="9">
        <f t="shared" si="5"/>
        <v>10826.5</v>
      </c>
      <c r="I28" s="56" t="s">
        <v>134</v>
      </c>
      <c r="J28" s="57" t="s">
        <v>135</v>
      </c>
      <c r="K28" s="56" t="s">
        <v>136</v>
      </c>
      <c r="L28" s="56" t="s">
        <v>137</v>
      </c>
      <c r="M28" s="57" t="s">
        <v>67</v>
      </c>
      <c r="N28" s="57" t="s">
        <v>63</v>
      </c>
      <c r="O28" s="58" t="s">
        <v>69</v>
      </c>
      <c r="P28" s="59" t="s">
        <v>138</v>
      </c>
    </row>
    <row r="29" spans="1:16" ht="12.75" customHeight="1" x14ac:dyDescent="0.2">
      <c r="A29" s="9" t="str">
        <f t="shared" si="0"/>
        <v>BAVM 238 </v>
      </c>
      <c r="B29" s="22" t="str">
        <f t="shared" si="1"/>
        <v>II</v>
      </c>
      <c r="C29" s="9">
        <f t="shared" si="2"/>
        <v>56734.6014</v>
      </c>
      <c r="D29" t="str">
        <f t="shared" si="3"/>
        <v>vis</v>
      </c>
      <c r="E29">
        <f>VLOOKUP(C29,Active!C$21:E$973,3,FALSE)</f>
        <v>10869.701135317573</v>
      </c>
      <c r="F29" s="22" t="s">
        <v>63</v>
      </c>
      <c r="G29" t="str">
        <f t="shared" si="4"/>
        <v>56734.6014</v>
      </c>
      <c r="H29" s="9">
        <f t="shared" si="5"/>
        <v>10869.5</v>
      </c>
      <c r="I29" s="56" t="s">
        <v>139</v>
      </c>
      <c r="J29" s="57" t="s">
        <v>140</v>
      </c>
      <c r="K29" s="56" t="s">
        <v>141</v>
      </c>
      <c r="L29" s="56" t="s">
        <v>142</v>
      </c>
      <c r="M29" s="57" t="s">
        <v>67</v>
      </c>
      <c r="N29" s="57" t="s">
        <v>68</v>
      </c>
      <c r="O29" s="58" t="s">
        <v>143</v>
      </c>
      <c r="P29" s="59" t="s">
        <v>144</v>
      </c>
    </row>
    <row r="30" spans="1:16" ht="12.75" customHeight="1" x14ac:dyDescent="0.2">
      <c r="A30" s="9" t="str">
        <f t="shared" si="0"/>
        <v>OEJV 0137 </v>
      </c>
      <c r="B30" s="22" t="str">
        <f t="shared" si="1"/>
        <v>II</v>
      </c>
      <c r="C30" s="9">
        <f t="shared" si="2"/>
        <v>55614.467100000002</v>
      </c>
      <c r="D30" t="str">
        <f t="shared" si="3"/>
        <v>vis</v>
      </c>
      <c r="E30" t="e">
        <f>VLOOKUP(C30,Active!C$21:E$973,3,FALSE)</f>
        <v>#N/A</v>
      </c>
      <c r="F30" s="22" t="s">
        <v>63</v>
      </c>
      <c r="G30" t="str">
        <f t="shared" si="4"/>
        <v>55614.4671</v>
      </c>
      <c r="H30" s="9">
        <f t="shared" si="5"/>
        <v>8578.5</v>
      </c>
      <c r="I30" s="56" t="s">
        <v>145</v>
      </c>
      <c r="J30" s="57" t="s">
        <v>146</v>
      </c>
      <c r="K30" s="56" t="s">
        <v>147</v>
      </c>
      <c r="L30" s="56" t="s">
        <v>148</v>
      </c>
      <c r="M30" s="57" t="s">
        <v>67</v>
      </c>
      <c r="N30" s="57" t="s">
        <v>58</v>
      </c>
      <c r="O30" s="58" t="s">
        <v>149</v>
      </c>
      <c r="P30" s="59" t="s">
        <v>150</v>
      </c>
    </row>
    <row r="31" spans="1:16" ht="12.75" customHeight="1" x14ac:dyDescent="0.2">
      <c r="A31" s="9" t="str">
        <f t="shared" si="0"/>
        <v>OEJV 0137 </v>
      </c>
      <c r="B31" s="22" t="str">
        <f t="shared" si="1"/>
        <v>II</v>
      </c>
      <c r="C31" s="9">
        <f t="shared" si="2"/>
        <v>55622.289900000003</v>
      </c>
      <c r="D31" t="str">
        <f t="shared" si="3"/>
        <v>vis</v>
      </c>
      <c r="E31" t="e">
        <f>VLOOKUP(C31,Active!C$21:E$973,3,FALSE)</f>
        <v>#N/A</v>
      </c>
      <c r="F31" s="22" t="s">
        <v>63</v>
      </c>
      <c r="G31" t="str">
        <f t="shared" si="4"/>
        <v>55622.2899</v>
      </c>
      <c r="H31" s="9">
        <f t="shared" si="5"/>
        <v>8594.5</v>
      </c>
      <c r="I31" s="56" t="s">
        <v>151</v>
      </c>
      <c r="J31" s="57" t="s">
        <v>152</v>
      </c>
      <c r="K31" s="56" t="s">
        <v>153</v>
      </c>
      <c r="L31" s="56" t="s">
        <v>154</v>
      </c>
      <c r="M31" s="57" t="s">
        <v>67</v>
      </c>
      <c r="N31" s="57" t="s">
        <v>58</v>
      </c>
      <c r="O31" s="58" t="s">
        <v>149</v>
      </c>
      <c r="P31" s="59" t="s">
        <v>150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18" r:id="rId8" xr:uid="{00000000-0004-0000-0100-000007000000}"/>
    <hyperlink ref="P19" r:id="rId9" xr:uid="{00000000-0004-0000-0100-000008000000}"/>
    <hyperlink ref="P20" r:id="rId10" xr:uid="{00000000-0004-0000-0100-000009000000}"/>
    <hyperlink ref="P21" r:id="rId11" xr:uid="{00000000-0004-0000-0100-00000A000000}"/>
    <hyperlink ref="P22" r:id="rId12" xr:uid="{00000000-0004-0000-0100-00000B000000}"/>
    <hyperlink ref="P23" r:id="rId13" xr:uid="{00000000-0004-0000-0100-00000C000000}"/>
    <hyperlink ref="P24" r:id="rId14" xr:uid="{00000000-0004-0000-0100-00000D000000}"/>
    <hyperlink ref="P25" r:id="rId15" xr:uid="{00000000-0004-0000-0100-00000E000000}"/>
    <hyperlink ref="P26" r:id="rId16" xr:uid="{00000000-0004-0000-0100-00000F000000}"/>
    <hyperlink ref="P27" r:id="rId17" xr:uid="{00000000-0004-0000-0100-000010000000}"/>
    <hyperlink ref="P28" r:id="rId18" xr:uid="{00000000-0004-0000-0100-000011000000}"/>
    <hyperlink ref="P29" r:id="rId19" xr:uid="{00000000-0004-0000-0100-000012000000}"/>
    <hyperlink ref="P30" r:id="rId20" xr:uid="{00000000-0004-0000-0100-000013000000}"/>
    <hyperlink ref="P31" r:id="rId21" xr:uid="{00000000-0004-0000-0100-000014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2023-01-25T06:12:19Z</dcterms:created>
  <dcterms:modified xsi:type="dcterms:W3CDTF">2024-01-17T04:35:52Z</dcterms:modified>
</cp:coreProperties>
</file>