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7A47FE5-7088-4186-99C9-C657321FD15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1" i="1" l="1"/>
  <c r="G11" i="1"/>
  <c r="E14" i="1"/>
  <c r="C17" i="1"/>
  <c r="E21" i="1"/>
  <c r="F21" i="1"/>
  <c r="G21" i="1"/>
  <c r="H21" i="1"/>
  <c r="Q21" i="1"/>
  <c r="E22" i="1"/>
  <c r="F22" i="1"/>
  <c r="G22" i="1"/>
  <c r="I22" i="1"/>
  <c r="Q22" i="1"/>
  <c r="R22" i="1"/>
  <c r="E23" i="1"/>
  <c r="F23" i="1"/>
  <c r="G23" i="1"/>
  <c r="J23" i="1"/>
  <c r="Q23" i="1"/>
  <c r="E24" i="1"/>
  <c r="F24" i="1"/>
  <c r="G24" i="1"/>
  <c r="I24" i="1"/>
  <c r="Q24" i="1"/>
  <c r="E25" i="1"/>
  <c r="F25" i="1"/>
  <c r="G25" i="1"/>
  <c r="I25" i="1"/>
  <c r="Q25" i="1"/>
  <c r="E26" i="1"/>
  <c r="F26" i="1"/>
  <c r="G26" i="1"/>
  <c r="I26" i="1"/>
  <c r="Q26" i="1"/>
  <c r="E27" i="1"/>
  <c r="F27" i="1"/>
  <c r="G27" i="1"/>
  <c r="I27" i="1"/>
  <c r="Q27" i="1"/>
  <c r="C12" i="1"/>
  <c r="C11" i="1"/>
  <c r="O22" i="1" l="1"/>
  <c r="O26" i="1"/>
  <c r="O21" i="1"/>
  <c r="C15" i="1"/>
  <c r="O25" i="1"/>
  <c r="O23" i="1"/>
  <c r="O27" i="1"/>
  <c r="O24" i="1"/>
  <c r="C16" i="1"/>
  <c r="D18" i="1" s="1"/>
  <c r="E15" i="1"/>
  <c r="C18" i="1" l="1"/>
  <c r="E16" i="1"/>
  <c r="E17" i="1" s="1"/>
</calcChain>
</file>

<file path=xl/sharedStrings.xml><?xml version="1.0" encoding="utf-8"?>
<sst xmlns="http://schemas.openxmlformats.org/spreadsheetml/2006/main" count="59" uniqueCount="52">
  <si>
    <t>WW UMi / GSC 4408-0436</t>
  </si>
  <si>
    <t>System Type:</t>
  </si>
  <si>
    <t>EB:</t>
  </si>
  <si>
    <t>UMi</t>
  </si>
  <si>
    <t>GCVS 4 Eph.</t>
  </si>
  <si>
    <t>not avail.</t>
  </si>
  <si>
    <t>--- Working ----</t>
  </si>
  <si>
    <t>Epoch =</t>
  </si>
  <si>
    <t>OEJV 0083</t>
  </si>
  <si>
    <t>Period =</t>
  </si>
  <si>
    <t>My time zone &gt;&gt;&gt;&gt;&gt;</t>
  </si>
  <si>
    <t>(PST=8, PDT=MDT=7, MDT=CST=6, etc.)</t>
  </si>
  <si>
    <t>Linear</t>
  </si>
  <si>
    <t>Quadratic</t>
  </si>
  <si>
    <t>LS Intercept =</t>
  </si>
  <si>
    <t>LS Slope =</t>
  </si>
  <si>
    <t>LS Quadr term =</t>
  </si>
  <si>
    <t>na</t>
  </si>
  <si>
    <t>Add cycle</t>
  </si>
  <si>
    <t>JD today</t>
  </si>
  <si>
    <t>New epoch =</t>
  </si>
  <si>
    <t>Old Cycle</t>
  </si>
  <si>
    <t>New Period =</t>
  </si>
  <si>
    <t>New Cycle</t>
  </si>
  <si>
    <t># of data points:</t>
  </si>
  <si>
    <t>Next ToM</t>
  </si>
  <si>
    <t>New Ephemeris =</t>
  </si>
  <si>
    <t>Local time</t>
  </si>
  <si>
    <t>Start of linear fit &gt;&gt;&gt;&gt;&gt;&gt;&gt;&gt;&gt;&gt;&gt;&gt;&gt;&gt;&gt;&gt;&gt;&gt;&gt;&gt;&gt;</t>
  </si>
  <si>
    <t>Source</t>
  </si>
  <si>
    <t>Typ</t>
  </si>
  <si>
    <t>ToM</t>
  </si>
  <si>
    <t>error</t>
  </si>
  <si>
    <t>n'</t>
  </si>
  <si>
    <t>n</t>
  </si>
  <si>
    <t>O-C</t>
  </si>
  <si>
    <t>OEJV</t>
  </si>
  <si>
    <t>Nelson</t>
  </si>
  <si>
    <t>IBVS</t>
  </si>
  <si>
    <t>S5</t>
  </si>
  <si>
    <t>S6</t>
  </si>
  <si>
    <t>Misc</t>
  </si>
  <si>
    <t>Lin Fit</t>
  </si>
  <si>
    <t>Q. Fit</t>
  </si>
  <si>
    <t>Date</t>
  </si>
  <si>
    <t>IBVS 6018</t>
  </si>
  <si>
    <t>IBVS 6084</t>
  </si>
  <si>
    <t>I</t>
  </si>
  <si>
    <t>IBVS 6050</t>
  </si>
  <si>
    <t>IBVS 6154</t>
  </si>
  <si>
    <t>OEJV 0211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</si>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</sst>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$#,##0_);&quot;($&quot;#,##0\)"/>
    <numFmt numFmtId="165" formatCode="m/d/yyyy\ h:mm"/>
    <numFmt numFmtId="167" formatCode="0.000"/>
    <numFmt numFmtId="169" formatCode="d/mm/yyyy;@"/>
  </numFmts>
  <fonts count="9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6">
    <xf numFmtId="0" fontId="0" fillId="0" borderId="0">
      <alignment vertical="top"/>
    </xf>
    <xf numFmtId="3" fontId="8" fillId="0" borderId="0" applyFill="0" applyBorder="0" applyProtection="0">
      <alignment vertical="top"/>
    </xf>
    <xf numFmtId="164" fontId="8" fillId="0" borderId="0" applyFill="0" applyBorder="0" applyProtection="0">
      <alignment vertical="top"/>
    </xf>
    <xf numFmtId="0" fontId="8" fillId="0" borderId="0" applyFill="0" applyBorder="0" applyProtection="0">
      <alignment vertical="top"/>
    </xf>
    <xf numFmtId="2" fontId="8" fillId="0" borderId="0" applyFill="0" applyBorder="0" applyProtection="0">
      <alignment vertical="top"/>
    </xf>
    <xf numFmtId="0" fontId="8" fillId="0" borderId="0"/>
  </cellStyleXfs>
  <cellXfs count="32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0" fillId="0" borderId="0" xfId="0" applyFont="1" applyAlignment="1">
      <alignment horizontal="center"/>
    </xf>
    <xf numFmtId="0" fontId="2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3" fillId="0" borderId="0" xfId="0" applyFont="1" applyAlignment="1"/>
    <xf numFmtId="0" fontId="4" fillId="0" borderId="0" xfId="0" applyFont="1">
      <alignment vertical="top"/>
    </xf>
    <xf numFmtId="0" fontId="5" fillId="0" borderId="0" xfId="0" applyFont="1">
      <alignment vertical="top"/>
    </xf>
    <xf numFmtId="0" fontId="0" fillId="0" borderId="3" xfId="0" applyFont="1" applyBorder="1" applyAlignment="1">
      <alignment horizontal="center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3" fillId="0" borderId="0" xfId="0" applyFont="1">
      <alignment vertical="top"/>
    </xf>
    <xf numFmtId="0" fontId="2" fillId="0" borderId="0" xfId="0" applyFont="1">
      <alignment vertical="top"/>
    </xf>
    <xf numFmtId="0" fontId="6" fillId="0" borderId="0" xfId="0" applyFont="1" applyAlignment="1">
      <alignment horizontal="center"/>
    </xf>
    <xf numFmtId="165" fontId="6" fillId="0" borderId="0" xfId="0" applyNumberFormat="1" applyFont="1">
      <alignment vertical="top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0" fontId="6" fillId="0" borderId="0" xfId="0" applyFont="1" applyAlignment="1">
      <alignment horizontal="right"/>
    </xf>
    <xf numFmtId="0" fontId="3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167" fontId="0" fillId="0" borderId="0" xfId="0" applyNumberForma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5" applyFont="1"/>
    <xf numFmtId="0" fontId="7" fillId="0" borderId="0" xfId="5" applyFont="1" applyAlignment="1">
      <alignment horizontal="center"/>
    </xf>
    <xf numFmtId="0" fontId="7" fillId="0" borderId="0" xfId="5" applyFont="1" applyAlignment="1">
      <alignment horizontal="left"/>
    </xf>
    <xf numFmtId="169" fontId="0" fillId="0" borderId="0" xfId="0" applyNumberFormat="1" applyAlignment="1"/>
  </cellXfs>
  <cellStyles count="6">
    <cellStyle name="Comma0" xfId="1"/>
    <cellStyle name="Currency0" xfId="2"/>
    <cellStyle name="Date" xfId="3"/>
    <cellStyle name="Fixed" xfId="4"/>
    <cellStyle name="Normal" xfId="0" builtinId="0"/>
    <cellStyle name="Normal_A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WW UMi - O-C Diagr.</a:t>
            </a:r>
          </a:p>
        </c:rich>
      </c:tx>
      <c:layout>
        <c:manualLayout>
          <c:xMode val="edge"/>
          <c:yMode val="edge"/>
          <c:x val="0.37444310545877157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92738530404594"/>
          <c:y val="0.14207502523722995"/>
          <c:w val="0.81426507814319493"/>
          <c:h val="0.6417111245709671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Active!$F$21:$F$2700</c:f>
              <c:numCache>
                <c:formatCode>General</c:formatCode>
                <c:ptCount val="2680"/>
                <c:pt idx="0">
                  <c:v>0</c:v>
                </c:pt>
                <c:pt idx="1">
                  <c:v>6721.5</c:v>
                </c:pt>
                <c:pt idx="2">
                  <c:v>7203</c:v>
                </c:pt>
                <c:pt idx="3">
                  <c:v>7753.5</c:v>
                </c:pt>
                <c:pt idx="4">
                  <c:v>9090.5</c:v>
                </c:pt>
                <c:pt idx="5">
                  <c:v>9608</c:v>
                </c:pt>
                <c:pt idx="6">
                  <c:v>10354</c:v>
                </c:pt>
              </c:numCache>
            </c:numRef>
          </c:xVal>
          <c:yVal>
            <c:numRef>
              <c:f>Active!$H$21:$H$2700</c:f>
              <c:numCache>
                <c:formatCode>General</c:formatCode>
                <c:ptCount val="268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7A-466F-8CB3-D834D329E7DA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Active!$F$21:$F$2700</c:f>
              <c:numCache>
                <c:formatCode>General</c:formatCode>
                <c:ptCount val="2680"/>
                <c:pt idx="0">
                  <c:v>0</c:v>
                </c:pt>
                <c:pt idx="1">
                  <c:v>6721.5</c:v>
                </c:pt>
                <c:pt idx="2">
                  <c:v>7203</c:v>
                </c:pt>
                <c:pt idx="3">
                  <c:v>7753.5</c:v>
                </c:pt>
                <c:pt idx="4">
                  <c:v>9090.5</c:v>
                </c:pt>
                <c:pt idx="5">
                  <c:v>9608</c:v>
                </c:pt>
                <c:pt idx="6">
                  <c:v>10354</c:v>
                </c:pt>
              </c:numCache>
            </c:numRef>
          </c:xVal>
          <c:yVal>
            <c:numRef>
              <c:f>Active!$I$21:$I$2700</c:f>
              <c:numCache>
                <c:formatCode>General</c:formatCode>
                <c:ptCount val="2680"/>
                <c:pt idx="1">
                  <c:v>6.629000001703389E-2</c:v>
                </c:pt>
                <c:pt idx="3">
                  <c:v>6.6010000016831327E-2</c:v>
                </c:pt>
                <c:pt idx="4">
                  <c:v>8.1930000014835969E-2</c:v>
                </c:pt>
                <c:pt idx="5">
                  <c:v>8.6039999980130233E-2</c:v>
                </c:pt>
                <c:pt idx="6">
                  <c:v>9.2979999957606196E-2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97A-466F-8CB3-D834D329E7DA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c:spPr>
          </c:marker>
          <c:xVal>
            <c:numRef>
              <c:f>Active!$F$21:$F$2700</c:f>
              <c:numCache>
                <c:formatCode>General</c:formatCode>
                <c:ptCount val="2680"/>
                <c:pt idx="0">
                  <c:v>0</c:v>
                </c:pt>
                <c:pt idx="1">
                  <c:v>6721.5</c:v>
                </c:pt>
                <c:pt idx="2">
                  <c:v>7203</c:v>
                </c:pt>
                <c:pt idx="3">
                  <c:v>7753.5</c:v>
                </c:pt>
                <c:pt idx="4">
                  <c:v>9090.5</c:v>
                </c:pt>
                <c:pt idx="5">
                  <c:v>9608</c:v>
                </c:pt>
                <c:pt idx="6">
                  <c:v>10354</c:v>
                </c:pt>
              </c:numCache>
            </c:numRef>
          </c:xVal>
          <c:yVal>
            <c:numRef>
              <c:f>Active!$J$21:$J$2700</c:f>
              <c:numCache>
                <c:formatCode>General</c:formatCode>
                <c:ptCount val="2680"/>
                <c:pt idx="2">
                  <c:v>6.578000001172768E-2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97A-466F-8CB3-D834D329E7DA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Active!$F$21:$F$2700</c:f>
              <c:numCache>
                <c:formatCode>General</c:formatCode>
                <c:ptCount val="2680"/>
                <c:pt idx="0">
                  <c:v>0</c:v>
                </c:pt>
                <c:pt idx="1">
                  <c:v>6721.5</c:v>
                </c:pt>
                <c:pt idx="2">
                  <c:v>7203</c:v>
                </c:pt>
                <c:pt idx="3">
                  <c:v>7753.5</c:v>
                </c:pt>
                <c:pt idx="4">
                  <c:v>9090.5</c:v>
                </c:pt>
                <c:pt idx="5">
                  <c:v>9608</c:v>
                </c:pt>
                <c:pt idx="6">
                  <c:v>10354</c:v>
                </c:pt>
              </c:numCache>
            </c:numRef>
          </c:xVal>
          <c:yVal>
            <c:numRef>
              <c:f>Active!$K$21:$K$2700</c:f>
              <c:numCache>
                <c:formatCode>General</c:formatCode>
                <c:ptCount val="26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97A-466F-8CB3-D834D329E7DA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Active!$F$21:$F$2700</c:f>
              <c:numCache>
                <c:formatCode>General</c:formatCode>
                <c:ptCount val="2680"/>
                <c:pt idx="0">
                  <c:v>0</c:v>
                </c:pt>
                <c:pt idx="1">
                  <c:v>6721.5</c:v>
                </c:pt>
                <c:pt idx="2">
                  <c:v>7203</c:v>
                </c:pt>
                <c:pt idx="3">
                  <c:v>7753.5</c:v>
                </c:pt>
                <c:pt idx="4">
                  <c:v>9090.5</c:v>
                </c:pt>
                <c:pt idx="5">
                  <c:v>9608</c:v>
                </c:pt>
                <c:pt idx="6">
                  <c:v>10354</c:v>
                </c:pt>
              </c:numCache>
            </c:numRef>
          </c:xVal>
          <c:yVal>
            <c:numRef>
              <c:f>Active!$L$21:$L$2700</c:f>
              <c:numCache>
                <c:formatCode>General</c:formatCode>
                <c:ptCount val="26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97A-466F-8CB3-D834D329E7D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Active!$F$21:$F$2700</c:f>
              <c:numCache>
                <c:formatCode>General</c:formatCode>
                <c:ptCount val="2680"/>
                <c:pt idx="0">
                  <c:v>0</c:v>
                </c:pt>
                <c:pt idx="1">
                  <c:v>6721.5</c:v>
                </c:pt>
                <c:pt idx="2">
                  <c:v>7203</c:v>
                </c:pt>
                <c:pt idx="3">
                  <c:v>7753.5</c:v>
                </c:pt>
                <c:pt idx="4">
                  <c:v>9090.5</c:v>
                </c:pt>
                <c:pt idx="5">
                  <c:v>9608</c:v>
                </c:pt>
                <c:pt idx="6">
                  <c:v>10354</c:v>
                </c:pt>
              </c:numCache>
            </c:numRef>
          </c:xVal>
          <c:yVal>
            <c:numRef>
              <c:f>Active!$M$21:$M$2700</c:f>
              <c:numCache>
                <c:formatCode>General</c:formatCode>
                <c:ptCount val="26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97A-466F-8CB3-D834D329E7D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Active!$F$21:$F$2700</c:f>
              <c:numCache>
                <c:formatCode>General</c:formatCode>
                <c:ptCount val="2680"/>
                <c:pt idx="0">
                  <c:v>0</c:v>
                </c:pt>
                <c:pt idx="1">
                  <c:v>6721.5</c:v>
                </c:pt>
                <c:pt idx="2">
                  <c:v>7203</c:v>
                </c:pt>
                <c:pt idx="3">
                  <c:v>7753.5</c:v>
                </c:pt>
                <c:pt idx="4">
                  <c:v>9090.5</c:v>
                </c:pt>
                <c:pt idx="5">
                  <c:v>9608</c:v>
                </c:pt>
                <c:pt idx="6">
                  <c:v>10354</c:v>
                </c:pt>
              </c:numCache>
            </c:numRef>
          </c:xVal>
          <c:yVal>
            <c:numRef>
              <c:f>Active!$N$21:$N$2700</c:f>
              <c:numCache>
                <c:formatCode>General</c:formatCode>
                <c:ptCount val="26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97A-466F-8CB3-D834D329E7D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Active!$F$21:$F$2700</c:f>
              <c:numCache>
                <c:formatCode>General</c:formatCode>
                <c:ptCount val="2680"/>
                <c:pt idx="0">
                  <c:v>0</c:v>
                </c:pt>
                <c:pt idx="1">
                  <c:v>6721.5</c:v>
                </c:pt>
                <c:pt idx="2">
                  <c:v>7203</c:v>
                </c:pt>
                <c:pt idx="3">
                  <c:v>7753.5</c:v>
                </c:pt>
                <c:pt idx="4">
                  <c:v>9090.5</c:v>
                </c:pt>
                <c:pt idx="5">
                  <c:v>9608</c:v>
                </c:pt>
                <c:pt idx="6">
                  <c:v>10354</c:v>
                </c:pt>
              </c:numCache>
            </c:numRef>
          </c:xVal>
          <c:yVal>
            <c:numRef>
              <c:f>Active!$O$21:$O$2700</c:f>
              <c:numCache>
                <c:formatCode>General</c:formatCode>
                <c:ptCount val="2680"/>
                <c:pt idx="0">
                  <c:v>8.0579039424286819E-3</c:v>
                </c:pt>
                <c:pt idx="1">
                  <c:v>6.2470987529096696E-2</c:v>
                </c:pt>
                <c:pt idx="2">
                  <c:v>6.6368912061861796E-2</c:v>
                </c:pt>
                <c:pt idx="3">
                  <c:v>7.0825417680319108E-2</c:v>
                </c:pt>
                <c:pt idx="4">
                  <c:v>8.1648938137862087E-2</c:v>
                </c:pt>
                <c:pt idx="5">
                  <c:v>8.5838296280553547E-2</c:v>
                </c:pt>
                <c:pt idx="6">
                  <c:v>9.1877448308472068E-2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97A-466F-8CB3-D834D329E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901240"/>
        <c:axId val="1"/>
      </c:scatterChart>
      <c:valAx>
        <c:axId val="304901240"/>
        <c:scaling>
          <c:orientation val="minMax"/>
          <c:min val="6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7386325966315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005943536404163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90124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099569834602769"/>
          <c:y val="0.91591875339906836"/>
          <c:w val="0.67756361806928667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WW UMi - O-C Diagr.</a:t>
            </a:r>
          </a:p>
        </c:rich>
      </c:tx>
      <c:layout>
        <c:manualLayout>
          <c:xMode val="edge"/>
          <c:yMode val="edge"/>
          <c:x val="0.3723728452862311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3082217591934"/>
          <c:y val="0.14371288918226538"/>
          <c:w val="0.82132252563480324"/>
          <c:h val="0.6407195058701493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Active!$F$21:$F$2700</c:f>
              <c:numCache>
                <c:formatCode>General</c:formatCode>
                <c:ptCount val="2680"/>
                <c:pt idx="0">
                  <c:v>0</c:v>
                </c:pt>
                <c:pt idx="1">
                  <c:v>6721.5</c:v>
                </c:pt>
                <c:pt idx="2">
                  <c:v>7203</c:v>
                </c:pt>
                <c:pt idx="3">
                  <c:v>7753.5</c:v>
                </c:pt>
                <c:pt idx="4">
                  <c:v>9090.5</c:v>
                </c:pt>
                <c:pt idx="5">
                  <c:v>9608</c:v>
                </c:pt>
                <c:pt idx="6">
                  <c:v>10354</c:v>
                </c:pt>
              </c:numCache>
            </c:numRef>
          </c:xVal>
          <c:yVal>
            <c:numRef>
              <c:f>Active!$H$21:$H$2700</c:f>
              <c:numCache>
                <c:formatCode>General</c:formatCode>
                <c:ptCount val="268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F6-433A-B862-D268ABFA5E97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Active!$F$21:$F$2700</c:f>
              <c:numCache>
                <c:formatCode>General</c:formatCode>
                <c:ptCount val="2680"/>
                <c:pt idx="0">
                  <c:v>0</c:v>
                </c:pt>
                <c:pt idx="1">
                  <c:v>6721.5</c:v>
                </c:pt>
                <c:pt idx="2">
                  <c:v>7203</c:v>
                </c:pt>
                <c:pt idx="3">
                  <c:v>7753.5</c:v>
                </c:pt>
                <c:pt idx="4">
                  <c:v>9090.5</c:v>
                </c:pt>
                <c:pt idx="5">
                  <c:v>9608</c:v>
                </c:pt>
                <c:pt idx="6">
                  <c:v>10354</c:v>
                </c:pt>
              </c:numCache>
            </c:numRef>
          </c:xVal>
          <c:yVal>
            <c:numRef>
              <c:f>Active!$I$21:$I$2700</c:f>
              <c:numCache>
                <c:formatCode>General</c:formatCode>
                <c:ptCount val="2680"/>
                <c:pt idx="1">
                  <c:v>6.629000001703389E-2</c:v>
                </c:pt>
                <c:pt idx="3">
                  <c:v>6.6010000016831327E-2</c:v>
                </c:pt>
                <c:pt idx="4">
                  <c:v>8.1930000014835969E-2</c:v>
                </c:pt>
                <c:pt idx="5">
                  <c:v>8.6039999980130233E-2</c:v>
                </c:pt>
                <c:pt idx="6">
                  <c:v>9.2979999957606196E-2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F6-433A-B862-D268ABFA5E97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c:spPr>
          </c:marker>
          <c:xVal>
            <c:numRef>
              <c:f>Active!$F$21:$F$2700</c:f>
              <c:numCache>
                <c:formatCode>General</c:formatCode>
                <c:ptCount val="2680"/>
                <c:pt idx="0">
                  <c:v>0</c:v>
                </c:pt>
                <c:pt idx="1">
                  <c:v>6721.5</c:v>
                </c:pt>
                <c:pt idx="2">
                  <c:v>7203</c:v>
                </c:pt>
                <c:pt idx="3">
                  <c:v>7753.5</c:v>
                </c:pt>
                <c:pt idx="4">
                  <c:v>9090.5</c:v>
                </c:pt>
                <c:pt idx="5">
                  <c:v>9608</c:v>
                </c:pt>
                <c:pt idx="6">
                  <c:v>10354</c:v>
                </c:pt>
              </c:numCache>
            </c:numRef>
          </c:xVal>
          <c:yVal>
            <c:numRef>
              <c:f>Active!$J$21:$J$2700</c:f>
              <c:numCache>
                <c:formatCode>General</c:formatCode>
                <c:ptCount val="2680"/>
                <c:pt idx="2">
                  <c:v>6.578000001172768E-2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0F6-433A-B862-D268ABFA5E97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Active!$F$21:$F$2700</c:f>
              <c:numCache>
                <c:formatCode>General</c:formatCode>
                <c:ptCount val="2680"/>
                <c:pt idx="0">
                  <c:v>0</c:v>
                </c:pt>
                <c:pt idx="1">
                  <c:v>6721.5</c:v>
                </c:pt>
                <c:pt idx="2">
                  <c:v>7203</c:v>
                </c:pt>
                <c:pt idx="3">
                  <c:v>7753.5</c:v>
                </c:pt>
                <c:pt idx="4">
                  <c:v>9090.5</c:v>
                </c:pt>
                <c:pt idx="5">
                  <c:v>9608</c:v>
                </c:pt>
                <c:pt idx="6">
                  <c:v>10354</c:v>
                </c:pt>
              </c:numCache>
            </c:numRef>
          </c:xVal>
          <c:yVal>
            <c:numRef>
              <c:f>Active!$K$21:$K$2700</c:f>
              <c:numCache>
                <c:formatCode>General</c:formatCode>
                <c:ptCount val="26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0F6-433A-B862-D268ABFA5E97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Active!$F$21:$F$2700</c:f>
              <c:numCache>
                <c:formatCode>General</c:formatCode>
                <c:ptCount val="2680"/>
                <c:pt idx="0">
                  <c:v>0</c:v>
                </c:pt>
                <c:pt idx="1">
                  <c:v>6721.5</c:v>
                </c:pt>
                <c:pt idx="2">
                  <c:v>7203</c:v>
                </c:pt>
                <c:pt idx="3">
                  <c:v>7753.5</c:v>
                </c:pt>
                <c:pt idx="4">
                  <c:v>9090.5</c:v>
                </c:pt>
                <c:pt idx="5">
                  <c:v>9608</c:v>
                </c:pt>
                <c:pt idx="6">
                  <c:v>10354</c:v>
                </c:pt>
              </c:numCache>
            </c:numRef>
          </c:xVal>
          <c:yVal>
            <c:numRef>
              <c:f>Active!$L$21:$L$2700</c:f>
              <c:numCache>
                <c:formatCode>General</c:formatCode>
                <c:ptCount val="26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0F6-433A-B862-D268ABFA5E9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Active!$F$21:$F$2700</c:f>
              <c:numCache>
                <c:formatCode>General</c:formatCode>
                <c:ptCount val="2680"/>
                <c:pt idx="0">
                  <c:v>0</c:v>
                </c:pt>
                <c:pt idx="1">
                  <c:v>6721.5</c:v>
                </c:pt>
                <c:pt idx="2">
                  <c:v>7203</c:v>
                </c:pt>
                <c:pt idx="3">
                  <c:v>7753.5</c:v>
                </c:pt>
                <c:pt idx="4">
                  <c:v>9090.5</c:v>
                </c:pt>
                <c:pt idx="5">
                  <c:v>9608</c:v>
                </c:pt>
                <c:pt idx="6">
                  <c:v>10354</c:v>
                </c:pt>
              </c:numCache>
            </c:numRef>
          </c:xVal>
          <c:yVal>
            <c:numRef>
              <c:f>Active!$M$21:$M$2700</c:f>
              <c:numCache>
                <c:formatCode>General</c:formatCode>
                <c:ptCount val="26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0F6-433A-B862-D268ABFA5E9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Active!$F$21:$F$2700</c:f>
              <c:numCache>
                <c:formatCode>General</c:formatCode>
                <c:ptCount val="2680"/>
                <c:pt idx="0">
                  <c:v>0</c:v>
                </c:pt>
                <c:pt idx="1">
                  <c:v>6721.5</c:v>
                </c:pt>
                <c:pt idx="2">
                  <c:v>7203</c:v>
                </c:pt>
                <c:pt idx="3">
                  <c:v>7753.5</c:v>
                </c:pt>
                <c:pt idx="4">
                  <c:v>9090.5</c:v>
                </c:pt>
                <c:pt idx="5">
                  <c:v>9608</c:v>
                </c:pt>
                <c:pt idx="6">
                  <c:v>10354</c:v>
                </c:pt>
              </c:numCache>
            </c:numRef>
          </c:xVal>
          <c:yVal>
            <c:numRef>
              <c:f>Active!$N$21:$N$2700</c:f>
              <c:numCache>
                <c:formatCode>General</c:formatCode>
                <c:ptCount val="26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0F6-433A-B862-D268ABFA5E9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Active!$F$21:$F$2700</c:f>
              <c:numCache>
                <c:formatCode>General</c:formatCode>
                <c:ptCount val="2680"/>
                <c:pt idx="0">
                  <c:v>0</c:v>
                </c:pt>
                <c:pt idx="1">
                  <c:v>6721.5</c:v>
                </c:pt>
                <c:pt idx="2">
                  <c:v>7203</c:v>
                </c:pt>
                <c:pt idx="3">
                  <c:v>7753.5</c:v>
                </c:pt>
                <c:pt idx="4">
                  <c:v>9090.5</c:v>
                </c:pt>
                <c:pt idx="5">
                  <c:v>9608</c:v>
                </c:pt>
                <c:pt idx="6">
                  <c:v>10354</c:v>
                </c:pt>
              </c:numCache>
            </c:numRef>
          </c:xVal>
          <c:yVal>
            <c:numRef>
              <c:f>Active!$O$21:$O$2700</c:f>
              <c:numCache>
                <c:formatCode>General</c:formatCode>
                <c:ptCount val="2680"/>
                <c:pt idx="0">
                  <c:v>8.0579039424286819E-3</c:v>
                </c:pt>
                <c:pt idx="1">
                  <c:v>6.2470987529096696E-2</c:v>
                </c:pt>
                <c:pt idx="2">
                  <c:v>6.6368912061861796E-2</c:v>
                </c:pt>
                <c:pt idx="3">
                  <c:v>7.0825417680319108E-2</c:v>
                </c:pt>
                <c:pt idx="4">
                  <c:v>8.1648938137862087E-2</c:v>
                </c:pt>
                <c:pt idx="5">
                  <c:v>8.5838296280553547E-2</c:v>
                </c:pt>
                <c:pt idx="6">
                  <c:v>9.1877448308472068E-2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0F6-433A-B862-D268ABFA5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902680"/>
        <c:axId val="1"/>
      </c:scatterChart>
      <c:valAx>
        <c:axId val="304902680"/>
        <c:scaling>
          <c:orientation val="minMax"/>
          <c:max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351430170327805"/>
              <c:y val="0.865270718405708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552552552552555E-2"/>
              <c:y val="0.416168293334590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9026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120151647710702"/>
          <c:y val="0.91317491002247464"/>
          <c:w val="0.68468563051240217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0</xdr:row>
      <xdr:rowOff>0</xdr:rowOff>
    </xdr:from>
    <xdr:to>
      <xdr:col>16</xdr:col>
      <xdr:colOff>638175</xdr:colOff>
      <xdr:row>18</xdr:row>
      <xdr:rowOff>85725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3EBECE1-A2AF-1328-B6E8-51E83A53C6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409575</xdr:colOff>
      <xdr:row>0</xdr:row>
      <xdr:rowOff>0</xdr:rowOff>
    </xdr:from>
    <xdr:to>
      <xdr:col>27</xdr:col>
      <xdr:colOff>266700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0F6A6B23-FA83-28B3-0B4F-FB1B9B656B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15.7109375" style="1" customWidth="1"/>
    <col min="6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7" ht="20.25" x14ac:dyDescent="0.3">
      <c r="A1" s="2" t="s">
        <v>0</v>
      </c>
    </row>
    <row r="2" spans="1:7" x14ac:dyDescent="0.2">
      <c r="A2" s="1" t="s">
        <v>1</v>
      </c>
      <c r="B2" s="1" t="s">
        <v>2</v>
      </c>
      <c r="D2" s="3" t="s">
        <v>3</v>
      </c>
    </row>
    <row r="4" spans="1:7" x14ac:dyDescent="0.2">
      <c r="A4" s="4" t="s">
        <v>4</v>
      </c>
      <c r="C4" s="5" t="s">
        <v>5</v>
      </c>
      <c r="D4" s="6" t="s">
        <v>5</v>
      </c>
    </row>
    <row r="6" spans="1:7" x14ac:dyDescent="0.2">
      <c r="A6" s="4" t="s">
        <v>6</v>
      </c>
    </row>
    <row r="7" spans="1:7" x14ac:dyDescent="0.2">
      <c r="A7" s="1" t="s">
        <v>7</v>
      </c>
      <c r="C7" s="1">
        <v>51608.783999999985</v>
      </c>
      <c r="D7" s="7" t="s">
        <v>8</v>
      </c>
    </row>
    <row r="8" spans="1:7" x14ac:dyDescent="0.2">
      <c r="A8" s="1" t="s">
        <v>9</v>
      </c>
      <c r="C8" s="1">
        <v>0.60194000000000003</v>
      </c>
      <c r="D8" s="7" t="s">
        <v>8</v>
      </c>
    </row>
    <row r="9" spans="1:7" x14ac:dyDescent="0.2">
      <c r="A9" s="8" t="s">
        <v>10</v>
      </c>
      <c r="B9"/>
      <c r="C9" s="9">
        <v>-9.5</v>
      </c>
      <c r="D9" t="s">
        <v>11</v>
      </c>
      <c r="E9"/>
    </row>
    <row r="10" spans="1:7" x14ac:dyDescent="0.2">
      <c r="A10"/>
      <c r="B10"/>
      <c r="C10" s="10" t="s">
        <v>12</v>
      </c>
      <c r="D10" s="10" t="s">
        <v>13</v>
      </c>
      <c r="E10"/>
    </row>
    <row r="11" spans="1:7" x14ac:dyDescent="0.2">
      <c r="A11" t="s">
        <v>14</v>
      </c>
      <c r="B11"/>
      <c r="C11" s="11">
        <f ca="1">INTERCEPT(INDIRECT($G$11):G992,INDIRECT($F$11):F992)</f>
        <v>8.0579039424286819E-3</v>
      </c>
      <c r="D11" s="3"/>
      <c r="E11"/>
      <c r="F11" s="12" t="str">
        <f>"F"&amp;E19</f>
        <v>F22</v>
      </c>
      <c r="G11" s="13" t="str">
        <f>"G"&amp;E19</f>
        <v>G22</v>
      </c>
    </row>
    <row r="12" spans="1:7" x14ac:dyDescent="0.2">
      <c r="A12" t="s">
        <v>15</v>
      </c>
      <c r="B12"/>
      <c r="C12" s="11">
        <f ca="1">SLOPE(INDIRECT($G$11):G992,INDIRECT($F$11):F992)</f>
        <v>8.0953780535100819E-6</v>
      </c>
      <c r="D12" s="3"/>
      <c r="E12"/>
    </row>
    <row r="13" spans="1:7" x14ac:dyDescent="0.2">
      <c r="A13" t="s">
        <v>16</v>
      </c>
      <c r="B13"/>
      <c r="C13" s="3" t="s">
        <v>17</v>
      </c>
      <c r="D13" s="14" t="s">
        <v>18</v>
      </c>
      <c r="E13" s="9">
        <v>1</v>
      </c>
    </row>
    <row r="14" spans="1:7" x14ac:dyDescent="0.2">
      <c r="A14"/>
      <c r="B14"/>
      <c r="C14"/>
      <c r="D14" s="14" t="s">
        <v>19</v>
      </c>
      <c r="E14" s="11">
        <f ca="1">NOW()+15018.5+$C$9/24</f>
        <v>60326.736344675926</v>
      </c>
    </row>
    <row r="15" spans="1:7" x14ac:dyDescent="0.2">
      <c r="A15" s="15" t="s">
        <v>20</v>
      </c>
      <c r="B15"/>
      <c r="C15" s="16">
        <f ca="1">(C7+C11)+(C8+C12)*INT(MAX(F21:F3533))</f>
        <v>57841.362637448292</v>
      </c>
      <c r="D15" s="14" t="s">
        <v>21</v>
      </c>
      <c r="E15" s="11">
        <f ca="1">ROUND(2*(E14-$C$7)/$C$8,0)/2+E13</f>
        <v>14484</v>
      </c>
    </row>
    <row r="16" spans="1:7" x14ac:dyDescent="0.2">
      <c r="A16" s="15" t="s">
        <v>22</v>
      </c>
      <c r="B16"/>
      <c r="C16" s="16">
        <f ca="1">+C8+C12</f>
        <v>0.60194809537805349</v>
      </c>
      <c r="D16" s="14" t="s">
        <v>23</v>
      </c>
      <c r="E16" s="13">
        <f ca="1">ROUND(2*(E14-$C$15)/$C$16,0)/2+E13</f>
        <v>4130</v>
      </c>
    </row>
    <row r="17" spans="1:18" x14ac:dyDescent="0.2">
      <c r="A17" s="14" t="s">
        <v>24</v>
      </c>
      <c r="B17"/>
      <c r="C17">
        <f>COUNT(C21:C2191)</f>
        <v>7</v>
      </c>
      <c r="D17" s="14" t="s">
        <v>25</v>
      </c>
      <c r="E17" s="17">
        <f ca="1">+$C$15+$C$16*E16-15018.5-$C$9/24</f>
        <v>45309.304104692987</v>
      </c>
    </row>
    <row r="18" spans="1:18" x14ac:dyDescent="0.2">
      <c r="A18" s="15" t="s">
        <v>26</v>
      </c>
      <c r="B18"/>
      <c r="C18" s="18">
        <f ca="1">+C15</f>
        <v>57841.362637448292</v>
      </c>
      <c r="D18" s="19">
        <f ca="1">+C16</f>
        <v>0.60194809537805349</v>
      </c>
      <c r="E18" s="20" t="s">
        <v>27</v>
      </c>
    </row>
    <row r="19" spans="1:18" x14ac:dyDescent="0.2">
      <c r="A19" s="21" t="s">
        <v>28</v>
      </c>
      <c r="E19" s="22">
        <v>22</v>
      </c>
    </row>
    <row r="20" spans="1:18" x14ac:dyDescent="0.2">
      <c r="A20" s="10" t="s">
        <v>29</v>
      </c>
      <c r="B20" s="10" t="s">
        <v>30</v>
      </c>
      <c r="C20" s="10" t="s">
        <v>31</v>
      </c>
      <c r="D20" s="10" t="s">
        <v>32</v>
      </c>
      <c r="E20" s="10" t="s">
        <v>33</v>
      </c>
      <c r="F20" s="10" t="s">
        <v>34</v>
      </c>
      <c r="G20" s="10" t="s">
        <v>35</v>
      </c>
      <c r="H20" s="23" t="s">
        <v>36</v>
      </c>
      <c r="I20" s="23" t="s">
        <v>37</v>
      </c>
      <c r="J20" s="23" t="s">
        <v>38</v>
      </c>
      <c r="K20" s="23" t="s">
        <v>51</v>
      </c>
      <c r="L20" s="23" t="s">
        <v>39</v>
      </c>
      <c r="M20" s="23" t="s">
        <v>40</v>
      </c>
      <c r="N20" s="23" t="s">
        <v>41</v>
      </c>
      <c r="O20" s="23" t="s">
        <v>42</v>
      </c>
      <c r="P20" s="23" t="s">
        <v>43</v>
      </c>
      <c r="Q20" s="10" t="s">
        <v>44</v>
      </c>
    </row>
    <row r="21" spans="1:18" x14ac:dyDescent="0.2">
      <c r="A21" s="1" t="s">
        <v>8</v>
      </c>
      <c r="C21" s="24">
        <v>51608.783999999985</v>
      </c>
      <c r="D21" s="24" t="s">
        <v>17</v>
      </c>
      <c r="E21" s="1">
        <f t="shared" ref="E21:E27" si="0">+(C21-C$7)/C$8</f>
        <v>0</v>
      </c>
      <c r="F21" s="1">
        <f t="shared" ref="F21:F27" si="1">ROUND(2*E21,0)/2</f>
        <v>0</v>
      </c>
      <c r="G21" s="1">
        <f t="shared" ref="G21:G27" si="2">+C21-(C$7+F21*C$8)</f>
        <v>0</v>
      </c>
      <c r="H21" s="1">
        <f>+G21</f>
        <v>0</v>
      </c>
      <c r="O21" s="1">
        <f t="shared" ref="O21:O27" ca="1" si="3">+C$11+C$12*$F21</f>
        <v>8.0579039424286819E-3</v>
      </c>
      <c r="Q21" s="31">
        <f t="shared" ref="Q21:Q27" si="4">+C21-15018.5</f>
        <v>36590.283999999985</v>
      </c>
    </row>
    <row r="22" spans="1:18" x14ac:dyDescent="0.2">
      <c r="A22" s="4" t="s">
        <v>45</v>
      </c>
      <c r="C22" s="25">
        <v>55654.79</v>
      </c>
      <c r="D22" s="24">
        <v>3.0000000000000001E-3</v>
      </c>
      <c r="E22" s="1">
        <f t="shared" si="0"/>
        <v>6721.6101272552341</v>
      </c>
      <c r="F22" s="1">
        <f t="shared" si="1"/>
        <v>6721.5</v>
      </c>
      <c r="G22" s="1">
        <f t="shared" si="2"/>
        <v>6.629000001703389E-2</v>
      </c>
      <c r="I22" s="1">
        <f>+G22</f>
        <v>6.629000001703389E-2</v>
      </c>
      <c r="O22" s="1">
        <f t="shared" ca="1" si="3"/>
        <v>6.2470987529096696E-2</v>
      </c>
      <c r="Q22" s="31">
        <f t="shared" si="4"/>
        <v>40636.29</v>
      </c>
      <c r="R22" s="1" t="str">
        <f>IF(ABS(C22-C21)&lt;0.00001,1,"")</f>
        <v/>
      </c>
    </row>
    <row r="23" spans="1:18" x14ac:dyDescent="0.2">
      <c r="A23" s="26" t="s">
        <v>46</v>
      </c>
      <c r="B23" s="27" t="s">
        <v>47</v>
      </c>
      <c r="C23" s="26">
        <v>55944.623599999999</v>
      </c>
      <c r="D23" s="26">
        <v>8.0000000000000004E-4</v>
      </c>
      <c r="E23" s="1">
        <f t="shared" si="0"/>
        <v>7203.1092799947064</v>
      </c>
      <c r="F23" s="1">
        <f t="shared" si="1"/>
        <v>7203</v>
      </c>
      <c r="G23" s="1">
        <f t="shared" si="2"/>
        <v>6.578000001172768E-2</v>
      </c>
      <c r="J23" s="1">
        <f>+G23</f>
        <v>6.578000001172768E-2</v>
      </c>
      <c r="O23" s="1">
        <f t="shared" ca="1" si="3"/>
        <v>6.6368912061861796E-2</v>
      </c>
      <c r="Q23" s="31">
        <f t="shared" si="4"/>
        <v>40926.123599999999</v>
      </c>
    </row>
    <row r="24" spans="1:18" x14ac:dyDescent="0.2">
      <c r="A24" s="4" t="s">
        <v>48</v>
      </c>
      <c r="C24" s="24">
        <v>56275.991800000003</v>
      </c>
      <c r="D24" s="24">
        <v>5.0000000000000001E-4</v>
      </c>
      <c r="E24" s="1">
        <f t="shared" si="0"/>
        <v>7753.6096620925973</v>
      </c>
      <c r="F24" s="1">
        <f t="shared" si="1"/>
        <v>7753.5</v>
      </c>
      <c r="G24" s="1">
        <f t="shared" si="2"/>
        <v>6.6010000016831327E-2</v>
      </c>
      <c r="I24" s="1">
        <f>+G24</f>
        <v>6.6010000016831327E-2</v>
      </c>
      <c r="O24" s="1">
        <f t="shared" ca="1" si="3"/>
        <v>7.0825417680319108E-2</v>
      </c>
      <c r="Q24" s="31">
        <f t="shared" si="4"/>
        <v>41257.491800000003</v>
      </c>
    </row>
    <row r="25" spans="1:18" x14ac:dyDescent="0.2">
      <c r="A25" s="4" t="s">
        <v>49</v>
      </c>
      <c r="C25" s="24">
        <v>57080.801500000001</v>
      </c>
      <c r="D25" s="24">
        <v>4.0000000000000002E-4</v>
      </c>
      <c r="E25" s="1">
        <f t="shared" si="0"/>
        <v>9090.6361099113128</v>
      </c>
      <c r="F25" s="1">
        <f t="shared" si="1"/>
        <v>9090.5</v>
      </c>
      <c r="G25" s="1">
        <f t="shared" si="2"/>
        <v>8.1930000014835969E-2</v>
      </c>
      <c r="I25" s="1">
        <f>+G25</f>
        <v>8.1930000014835969E-2</v>
      </c>
      <c r="O25" s="1">
        <f t="shared" ca="1" si="3"/>
        <v>8.1648938137862087E-2</v>
      </c>
      <c r="Q25" s="31">
        <f t="shared" si="4"/>
        <v>42062.301500000001</v>
      </c>
    </row>
    <row r="26" spans="1:18" x14ac:dyDescent="0.2">
      <c r="A26" s="28" t="s">
        <v>50</v>
      </c>
      <c r="B26" s="29" t="s">
        <v>47</v>
      </c>
      <c r="C26" s="30">
        <v>57392.309559999965</v>
      </c>
      <c r="D26" s="30">
        <v>8.0000000000000004E-4</v>
      </c>
      <c r="E26" s="1">
        <f t="shared" si="0"/>
        <v>9608.1429378343018</v>
      </c>
      <c r="F26" s="1">
        <f t="shared" si="1"/>
        <v>9608</v>
      </c>
      <c r="G26" s="1">
        <f t="shared" si="2"/>
        <v>8.6039999980130233E-2</v>
      </c>
      <c r="I26" s="1">
        <f>+G26</f>
        <v>8.6039999980130233E-2</v>
      </c>
      <c r="O26" s="1">
        <f t="shared" ca="1" si="3"/>
        <v>8.5838296280553547E-2</v>
      </c>
      <c r="Q26" s="31">
        <f t="shared" si="4"/>
        <v>42373.809559999965</v>
      </c>
    </row>
    <row r="27" spans="1:18" x14ac:dyDescent="0.2">
      <c r="A27" s="28" t="s">
        <v>50</v>
      </c>
      <c r="B27" s="29" t="s">
        <v>47</v>
      </c>
      <c r="C27" s="30">
        <v>57841.363739999942</v>
      </c>
      <c r="D27" s="30">
        <v>8.0000000000000004E-4</v>
      </c>
      <c r="E27" s="1">
        <f t="shared" si="0"/>
        <v>10354.154467222575</v>
      </c>
      <c r="F27" s="1">
        <f t="shared" si="1"/>
        <v>10354</v>
      </c>
      <c r="G27" s="1">
        <f t="shared" si="2"/>
        <v>9.2979999957606196E-2</v>
      </c>
      <c r="I27" s="1">
        <f>+G27</f>
        <v>9.2979999957606196E-2</v>
      </c>
      <c r="O27" s="1">
        <f t="shared" ca="1" si="3"/>
        <v>9.1877448308472068E-2</v>
      </c>
      <c r="Q27" s="31">
        <f t="shared" si="4"/>
        <v>42822.863739999942</v>
      </c>
    </row>
    <row r="28" spans="1:18" x14ac:dyDescent="0.2">
      <c r="Q28" s="31"/>
    </row>
    <row r="29" spans="1:18" x14ac:dyDescent="0.2">
      <c r="Q29" s="31"/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2024-01-17T04:40:19Z</dcterms:created>
  <dcterms:modified xsi:type="dcterms:W3CDTF">2024-01-17T04:40:20Z</dcterms:modified>
</cp:coreProperties>
</file>