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B4D69B8-841E-4CE5-8DBE-401579F37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6" i="1" l="1"/>
  <c r="Q25" i="1"/>
  <c r="F14" i="1"/>
  <c r="F15" i="1" s="1"/>
  <c r="D9" i="1"/>
  <c r="C9" i="1"/>
  <c r="Q24" i="1"/>
  <c r="Q23" i="1"/>
  <c r="Q22" i="1"/>
  <c r="C8" i="1"/>
  <c r="C7" i="1"/>
  <c r="E26" i="1" s="1"/>
  <c r="F26" i="1" s="1"/>
  <c r="G26" i="1" s="1"/>
  <c r="K26" i="1" s="1"/>
  <c r="C17" i="1"/>
  <c r="Q21" i="1"/>
  <c r="E21" i="1"/>
  <c r="F21" i="1"/>
  <c r="G21" i="1" s="1"/>
  <c r="H21" i="1" s="1"/>
  <c r="E22" i="1"/>
  <c r="F22" i="1" s="1"/>
  <c r="G22" i="1" s="1"/>
  <c r="J22" i="1" s="1"/>
  <c r="E23" i="1"/>
  <c r="F23" i="1" s="1"/>
  <c r="G23" i="1" s="1"/>
  <c r="K23" i="1" s="1"/>
  <c r="E24" i="1"/>
  <c r="F24" i="1" s="1"/>
  <c r="G24" i="1" s="1"/>
  <c r="I24" i="1" s="1"/>
  <c r="E25" i="1" l="1"/>
  <c r="F25" i="1" s="1"/>
  <c r="G25" i="1" s="1"/>
  <c r="C12" i="1"/>
  <c r="C11" i="1"/>
  <c r="O26" i="1" l="1"/>
  <c r="O22" i="1"/>
  <c r="O25" i="1"/>
  <c r="O24" i="1"/>
  <c r="C15" i="1"/>
  <c r="O21" i="1"/>
  <c r="O23" i="1"/>
  <c r="C16" i="1"/>
  <c r="D18" i="1" s="1"/>
  <c r="K2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<sst xmlns="http://schemas.openxmlformats.org/spreadsheetml/2006/main" count="63" uniqueCount="54">
  <si>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</si>
  <si>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</si>
  <si>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</si>
  <si>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</si>
  <si>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</si>
  <si>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</si>
  <si>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</si>
  <si>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</si>
  <si>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</si>
  <si>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</si>
  <si>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</si>
  <si>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</si>
  <si>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</si>
  <si>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</si>
  <si>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</si>
  <si>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</si>
  <si>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</si>
  <si>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</si>
  <si>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</si>
  <si>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</si>
  <si>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</si>
  <si>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</si>
  <si>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</si>
  <si>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</si>
  <si>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</si>
  <si>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</si>
  <si>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</si>
  <si>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</si>
  <si>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</si>
  <si>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</si>
  <si>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</si>
  <si>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</si>
  <si>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</si>
  <si>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</si>
  <si>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AS Vel / GSC 7661-1225</t>
  </si>
  <si>
    <t>IBVS 1702</t>
  </si>
  <si>
    <t>I</t>
  </si>
  <si>
    <t>OEJV 0168</t>
  </si>
  <si>
    <t>OEJV 0181</t>
  </si>
  <si>
    <t>pg</t>
  </si>
  <si>
    <t>vis</t>
  </si>
  <si>
    <t>PE</t>
  </si>
  <si>
    <t>CCD</t>
  </si>
  <si>
    <t>Add cycle</t>
  </si>
  <si>
    <t>Old Cycle</t>
  </si>
  <si>
    <t>JBAV, 63</t>
  </si>
  <si>
    <t>II</t>
  </si>
  <si>
    <t>JBAV, 79</t>
  </si>
  <si>
    <t xml:space="preserve">Mag </t>
  </si>
  <si>
    <t>VSX</t>
  </si>
  <si>
    <t>8.3-8.92</t>
  </si>
  <si>
    <t>Next ToM-P</t>
  </si>
  <si>
    <t>Next ToM-S</t>
  </si>
  <si>
    <t>EA/KE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</si>
</sst>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9" fillId="0" borderId="0" xfId="41" applyFont="1" applyAlignment="1">
      <alignment horizontal="left"/>
    </xf>
    <xf numFmtId="0" fontId="8" fillId="0" borderId="0" xfId="41" applyFont="1" applyAlignment="1">
      <alignment horizontal="left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/>
    <xf numFmtId="165" fontId="31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65" fontId="31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9" fillId="0" borderId="0" xfId="41" applyFont="1" applyAlignment="1">
      <alignment horizontal="center" vertical="center"/>
    </xf>
    <xf numFmtId="43" fontId="31" fillId="0" borderId="0" xfId="47" applyFont="1" applyBorder="1" applyAlignment="1">
      <alignment horizontal="center" vertical="center"/>
    </xf>
    <xf numFmtId="0" fontId="29" fillId="0" borderId="0" xfId="41" applyFont="1"/>
    <xf numFmtId="0" fontId="31" fillId="0" borderId="0" xfId="0" applyFont="1" applyAlignment="1">
      <alignment vertical="center" wrapText="1"/>
    </xf>
    <xf numFmtId="0" fontId="31" fillId="0" borderId="0" xfId="47" applyNumberFormat="1" applyFont="1" applyBorder="1"/>
    <xf numFmtId="0" fontId="30" fillId="24" borderId="11" xfId="0" applyFont="1" applyFill="1" applyBorder="1" applyAlignment="1">
      <alignment horizontal="right" vertical="top"/>
    </xf>
    <xf numFmtId="0" fontId="30" fillId="24" borderId="12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22" fontId="34" fillId="0" borderId="14" xfId="0" applyNumberFormat="1" applyFont="1" applyBorder="1" applyAlignment="1">
      <alignment horizontal="right" vertical="center"/>
    </xf>
    <xf numFmtId="22" fontId="34" fillId="0" borderId="15" xfId="0" applyNumberFormat="1" applyFont="1" applyBorder="1" applyAlignment="1">
      <alignment horizontal="right" vertical="center"/>
    </xf>
    <xf numFmtId="0" fontId="33" fillId="0" borderId="16" xfId="0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Vel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7-4C34-98FD-1E13E17439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-7.9560060003132094E-2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B7-4C34-98FD-1E13E17439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-4.3995200001518242E-2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B7-4C34-98FD-1E13E17439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-7.9242780004278757E-2</c:v>
                </c:pt>
                <c:pt idx="4">
                  <c:v>-8.0159320001257583E-2</c:v>
                </c:pt>
                <c:pt idx="5">
                  <c:v>-8.4234400084824301E-2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B7-4C34-98FD-1E13E17439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B7-4C34-98FD-1E13E17439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B7-4C34-98FD-1E13E17439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B7-4C34-98FD-1E13E17439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-1.375076192854742E-3</c:v>
                </c:pt>
                <c:pt idx="1">
                  <c:v>-4.1900208214627227E-2</c:v>
                </c:pt>
                <c:pt idx="2">
                  <c:v>-7.618802745480438E-2</c:v>
                </c:pt>
                <c:pt idx="3">
                  <c:v>-7.9173275729690684E-2</c:v>
                </c:pt>
                <c:pt idx="4">
                  <c:v>-8.3809691120349583E-2</c:v>
                </c:pt>
                <c:pt idx="5">
                  <c:v>-8.4745481382684396E-2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B7-4C34-98FD-1E13E174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404144"/>
        <c:axId val="1"/>
      </c:scatterChart>
      <c:valAx>
        <c:axId val="871404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40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466725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F233EE-D88A-EA82-D80A-1616550E0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</row>
    <row r="2" spans="1:6">
      <c r="A2" t="s">
        <v>24</v>
      </c>
      <c r="B2" s="33" t="s">
        <v>53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26454.44</v>
      </c>
      <c r="D4" s="9">
        <v>1.5578887400000001</v>
      </c>
    </row>
    <row r="5" spans="1:6" ht="13.5" thickTop="1">
      <c r="A5" s="11" t="s">
        <v>29</v>
      </c>
      <c r="B5" s="12"/>
      <c r="C5" s="13">
        <v>-9.5</v>
      </c>
      <c r="D5" s="12" t="s">
        <v>30</v>
      </c>
    </row>
    <row r="6" spans="1:6">
      <c r="A6" s="5" t="s">
        <v>1</v>
      </c>
    </row>
    <row r="7" spans="1:6">
      <c r="A7" t="s">
        <v>2</v>
      </c>
      <c r="C7">
        <f>+C4</f>
        <v>26454.44</v>
      </c>
      <c r="D7" s="33" t="s">
        <v>49</v>
      </c>
    </row>
    <row r="8" spans="1:6">
      <c r="A8" t="s">
        <v>3</v>
      </c>
      <c r="C8">
        <f>+D4</f>
        <v>1.5578887400000001</v>
      </c>
      <c r="D8" s="33" t="s">
        <v>49</v>
      </c>
    </row>
    <row r="9" spans="1:6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1">
        <f ca="1">INTERCEPT(INDIRECT($D$9):G992,INDIRECT($C$9):F992)</f>
        <v>-1.375076192854742E-3</v>
      </c>
      <c r="D11" s="3"/>
      <c r="E11" s="12"/>
    </row>
    <row r="12" spans="1:6">
      <c r="A12" s="12" t="s">
        <v>17</v>
      </c>
      <c r="B12" s="12"/>
      <c r="C12" s="21">
        <f ca="1">SLOPE(INDIRECT($D$9):G992,INDIRECT($C$9):F992)</f>
        <v>-3.8669019104744737E-6</v>
      </c>
      <c r="D12" s="3"/>
      <c r="E12" s="43" t="s">
        <v>48</v>
      </c>
      <c r="F12" s="44" t="s">
        <v>50</v>
      </c>
    </row>
    <row r="13" spans="1:6">
      <c r="A13" s="12" t="s">
        <v>19</v>
      </c>
      <c r="B13" s="12"/>
      <c r="C13" s="3" t="s">
        <v>14</v>
      </c>
      <c r="E13" s="45" t="s">
        <v>43</v>
      </c>
      <c r="F13" s="46">
        <v>1</v>
      </c>
    </row>
    <row r="14" spans="1:6">
      <c r="A14" s="12"/>
      <c r="B14" s="12"/>
      <c r="C14" s="12"/>
      <c r="E14" s="45" t="s">
        <v>31</v>
      </c>
      <c r="F14" s="47">
        <f ca="1">NOW()+15018.5+$C$5/24</f>
        <v>60520.766218518518</v>
      </c>
    </row>
    <row r="15" spans="1:6">
      <c r="A15" s="14" t="s">
        <v>18</v>
      </c>
      <c r="B15" s="12"/>
      <c r="C15" s="15">
        <f ca="1">(C7+C11)+(C8+C12)*INT(MAX(F21:F3533))</f>
        <v>60042.436488918611</v>
      </c>
      <c r="E15" s="45" t="s">
        <v>44</v>
      </c>
      <c r="F15" s="47">
        <f ca="1">ROUND(2*(F14-$C$7)/$C$8,0)/2+F13</f>
        <v>21868</v>
      </c>
    </row>
    <row r="16" spans="1:6">
      <c r="A16" s="17" t="s">
        <v>4</v>
      </c>
      <c r="B16" s="12"/>
      <c r="C16" s="18">
        <f ca="1">+C8+C12</f>
        <v>1.5578848730980897</v>
      </c>
      <c r="E16" s="45" t="s">
        <v>32</v>
      </c>
      <c r="F16" s="47">
        <f ca="1">ROUND(2*(F14-$C$15)/$C$16,0)/2+F13</f>
        <v>308</v>
      </c>
    </row>
    <row r="17" spans="1:18" ht="13.5" thickBot="1">
      <c r="A17" s="16" t="s">
        <v>28</v>
      </c>
      <c r="B17" s="12"/>
      <c r="C17" s="12">
        <f>COUNT(C21:C2191)</f>
        <v>6</v>
      </c>
      <c r="E17" s="45" t="s">
        <v>51</v>
      </c>
      <c r="F17" s="48">
        <f ca="1">+$C$15+$C$16*$F$16-15018.5-$C$5/24</f>
        <v>45504.160863166158</v>
      </c>
    </row>
    <row r="18" spans="1:18" ht="14.25" thickTop="1" thickBot="1">
      <c r="A18" s="17" t="s">
        <v>5</v>
      </c>
      <c r="B18" s="12"/>
      <c r="C18" s="19">
        <f ca="1">+C15</f>
        <v>60042.436488918611</v>
      </c>
      <c r="D18" s="20">
        <f ca="1">+C16</f>
        <v>1.5578848730980897</v>
      </c>
      <c r="E18" s="50" t="s">
        <v>52</v>
      </c>
      <c r="F18" s="49">
        <f ca="1">+($C$15+$C$16*$F$16)-($C$16/2)-15018.5-$C$5/24</f>
        <v>45503.381920729611</v>
      </c>
    </row>
    <row r="19" spans="1:18" ht="13.5" thickTop="1"/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>
      <c r="A21" t="s">
        <v>12</v>
      </c>
      <c r="B21" s="37"/>
      <c r="C21" s="10">
        <v>26454.44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-1.375076192854742E-3</v>
      </c>
      <c r="Q21" s="2">
        <f t="shared" ref="Q21:Q26" si="4">+C21-15018.5</f>
        <v>11435.939999999999</v>
      </c>
    </row>
    <row r="22" spans="1:18">
      <c r="A22" s="26" t="s">
        <v>35</v>
      </c>
      <c r="B22" s="27" t="s">
        <v>36</v>
      </c>
      <c r="C22" s="26">
        <v>42781.07</v>
      </c>
      <c r="D22" s="28"/>
      <c r="E22">
        <f t="shared" si="0"/>
        <v>10479.971759729131</v>
      </c>
      <c r="F22">
        <f t="shared" si="1"/>
        <v>10480</v>
      </c>
      <c r="G22">
        <f t="shared" si="2"/>
        <v>-4.3995200001518242E-2</v>
      </c>
      <c r="J22">
        <f>+G22</f>
        <v>-4.3995200001518242E-2</v>
      </c>
      <c r="O22">
        <f t="shared" ca="1" si="3"/>
        <v>-4.1900208214627227E-2</v>
      </c>
      <c r="Q22" s="2">
        <f t="shared" si="4"/>
        <v>27762.57</v>
      </c>
      <c r="R22" t="s">
        <v>41</v>
      </c>
    </row>
    <row r="23" spans="1:18">
      <c r="A23" s="28" t="s">
        <v>37</v>
      </c>
      <c r="B23" s="27" t="s">
        <v>36</v>
      </c>
      <c r="C23" s="29">
        <v>56594.834210000001</v>
      </c>
      <c r="D23" s="28">
        <v>1.2999999999999999E-3</v>
      </c>
      <c r="E23">
        <f t="shared" si="0"/>
        <v>19346.949134506231</v>
      </c>
      <c r="F23">
        <f t="shared" si="1"/>
        <v>19347</v>
      </c>
      <c r="G23">
        <f t="shared" si="2"/>
        <v>-7.9242780004278757E-2</v>
      </c>
      <c r="K23">
        <f>+G23</f>
        <v>-7.9242780004278757E-2</v>
      </c>
      <c r="O23">
        <f t="shared" ca="1" si="3"/>
        <v>-7.618802745480438E-2</v>
      </c>
      <c r="Q23" s="2">
        <f t="shared" si="4"/>
        <v>41576.334210000001</v>
      </c>
      <c r="R23" t="s">
        <v>42</v>
      </c>
    </row>
    <row r="24" spans="1:18">
      <c r="A24" s="40" t="s">
        <v>38</v>
      </c>
      <c r="B24" s="38" t="s">
        <v>36</v>
      </c>
      <c r="C24" s="30">
        <v>57797.523999999998</v>
      </c>
      <c r="D24" s="31">
        <v>4.0000000000000001E-3</v>
      </c>
      <c r="E24">
        <f t="shared" si="0"/>
        <v>20118.948930845985</v>
      </c>
      <c r="F24">
        <f t="shared" si="1"/>
        <v>20119</v>
      </c>
      <c r="G24">
        <f t="shared" si="2"/>
        <v>-7.9560060003132094E-2</v>
      </c>
      <c r="I24">
        <f>+G24</f>
        <v>-7.9560060003132094E-2</v>
      </c>
      <c r="O24">
        <f t="shared" ca="1" si="3"/>
        <v>-7.9173275729690684E-2</v>
      </c>
      <c r="Q24" s="2">
        <f t="shared" si="4"/>
        <v>42779.023999999998</v>
      </c>
      <c r="R24" t="s">
        <v>40</v>
      </c>
    </row>
    <row r="25" spans="1:18">
      <c r="A25" s="41" t="s">
        <v>45</v>
      </c>
      <c r="B25" s="32" t="s">
        <v>46</v>
      </c>
      <c r="C25" s="34">
        <v>59665.432000000001</v>
      </c>
      <c r="D25" s="35">
        <v>2E-3</v>
      </c>
      <c r="E25">
        <f t="shared" si="0"/>
        <v>21317.948546184369</v>
      </c>
      <c r="F25">
        <f t="shared" si="1"/>
        <v>21318</v>
      </c>
      <c r="G25">
        <f t="shared" si="2"/>
        <v>-8.0159320001257583E-2</v>
      </c>
      <c r="K25">
        <f>+G25</f>
        <v>-8.0159320001257583E-2</v>
      </c>
      <c r="O25">
        <f t="shared" ca="1" si="3"/>
        <v>-8.3809691120349583E-2</v>
      </c>
      <c r="Q25" s="2">
        <f t="shared" si="4"/>
        <v>44646.932000000001</v>
      </c>
      <c r="R25" s="33" t="s">
        <v>42</v>
      </c>
    </row>
    <row r="26" spans="1:18">
      <c r="A26" s="42" t="s">
        <v>47</v>
      </c>
      <c r="B26" s="39" t="s">
        <v>36</v>
      </c>
      <c r="C26" s="36">
        <v>60042.436999999918</v>
      </c>
      <c r="D26" s="35">
        <v>5.0000000000000001E-3</v>
      </c>
      <c r="E26">
        <f t="shared" si="0"/>
        <v>21559.945930413436</v>
      </c>
      <c r="F26">
        <f t="shared" si="1"/>
        <v>21560</v>
      </c>
      <c r="G26">
        <f t="shared" si="2"/>
        <v>-8.4234400084824301E-2</v>
      </c>
      <c r="K26">
        <f>+G26</f>
        <v>-8.4234400084824301E-2</v>
      </c>
      <c r="O26">
        <f t="shared" ca="1" si="3"/>
        <v>-8.4745481382684396E-2</v>
      </c>
      <c r="Q26" s="2">
        <f t="shared" si="4"/>
        <v>45023.936999999918</v>
      </c>
    </row>
    <row r="27" spans="1:18">
      <c r="B27" s="37"/>
      <c r="C27" s="10"/>
      <c r="D27" s="10"/>
      <c r="Q27" s="2"/>
    </row>
    <row r="28" spans="1:18">
      <c r="B28" s="37"/>
      <c r="C28" s="10"/>
      <c r="D28" s="10"/>
      <c r="Q28" s="2"/>
    </row>
    <row r="29" spans="1:18">
      <c r="B29" s="37"/>
      <c r="C29" s="10"/>
      <c r="D29" s="10"/>
      <c r="Q29" s="2"/>
    </row>
    <row r="30" spans="1:18">
      <c r="B30" s="37"/>
      <c r="C30" s="10"/>
      <c r="D30" s="10"/>
      <c r="Q30" s="2"/>
    </row>
    <row r="31" spans="1:18">
      <c r="B31" s="37"/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2024-07-29T06:23:21Z</dcterms:modified>
</cp:coreProperties>
</file>