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4279618-4A33-4E4F-A231-1EF06751C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C23" i="1"/>
  <c r="A23" i="1"/>
  <c r="E22" i="1"/>
  <c r="F22" i="1" s="1"/>
  <c r="G22" i="1" s="1"/>
  <c r="I22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Q22" i="1"/>
  <c r="Q24" i="1"/>
  <c r="Q25" i="1"/>
  <c r="Q26" i="1"/>
  <c r="F11" i="1"/>
  <c r="E21" i="1"/>
  <c r="F21" i="1" s="1"/>
  <c r="G21" i="1" s="1"/>
  <c r="H21" i="1" s="1"/>
  <c r="H20" i="1"/>
  <c r="G11" i="1"/>
  <c r="F14" i="1"/>
  <c r="Q21" i="1"/>
  <c r="C17" i="1"/>
  <c r="C12" i="1"/>
  <c r="C16" i="1" l="1"/>
  <c r="D18" i="1" s="1"/>
  <c r="F15" i="1"/>
  <c r="C11" i="1"/>
  <c r="O23" i="1" l="1"/>
  <c r="S23" i="1" s="1"/>
  <c r="O21" i="1"/>
  <c r="S21" i="1" s="1"/>
  <c r="C15" i="1"/>
  <c r="O25" i="1"/>
  <c r="S25" i="1" s="1"/>
  <c r="O26" i="1"/>
  <c r="S26" i="1" s="1"/>
  <c r="O24" i="1"/>
  <c r="S24" i="1" s="1"/>
  <c r="O22" i="1"/>
  <c r="S22" i="1" s="1"/>
  <c r="C18" i="1" l="1"/>
  <c r="F16" i="1"/>
  <c r="F17" i="1" s="1"/>
  <c r="S19" i="1"/>
  <c r="F18" i="1" l="1"/>
</calcChain>
</file>

<file path=xl/sharedStrings.xml><?xml version="1.0" encoding="utf-8"?>
<sst xmlns="http://schemas.openxmlformats.org/spreadsheetml/2006/main" count="65" uniqueCount="55">
  <si>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</si>
  <si>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</si>
  <si>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</si>
  <si>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</si>
  <si>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</si>
  <si>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</si>
  <si>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</si>
  <si>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</si>
  <si>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</si>
  <si>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</si>
  <si>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</si>
  <si>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</si>
  <si>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</si>
  <si>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</si>
  <si>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</si>
  <si>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</si>
  <si>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</si>
  <si>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</si>
  <si>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</si>
  <si>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</si>
  <si>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</si>
  <si>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</si>
  <si>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</si>
  <si>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</si>
  <si>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</si>
  <si>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</si>
  <si>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</si>
  <si>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</si>
  <si>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</si>
  <si>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</si>
  <si>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</si>
  <si>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</si>
  <si>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</si>
  <si>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</si>
  <si>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</si>
  <si>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</si>
  <si>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</si>
  <si>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</si>
  <si>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</si>
  <si>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</si>
  <si>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</si>
  <si>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AW Vel</t>
  </si>
  <si>
    <t>AW Vel / GSC 7671-5023</t>
  </si>
  <si>
    <t>Vel_AW.xls</t>
  </si>
  <si>
    <t>EA/DM:</t>
  </si>
  <si>
    <t>Vel</t>
  </si>
  <si>
    <t>G7671-5023</t>
  </si>
  <si>
    <t>Kreiner</t>
  </si>
  <si>
    <t>VSS_2013-01-28</t>
  </si>
  <si>
    <t>I</t>
  </si>
  <si>
    <t>CCD</t>
  </si>
  <si>
    <t>S3</t>
  </si>
  <si>
    <t xml:space="preserve">Mag </t>
  </si>
  <si>
    <t>10.70-12.20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</si>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</sst>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1" fillId="0" borderId="9" xfId="0" applyFont="1" applyBorder="1">
      <alignment vertical="top"/>
    </xf>
    <xf numFmtId="0" fontId="8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22" fontId="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Vel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-1894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3.2739999733166769E-4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C7-40C5-8E7C-2335B0C007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-1894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-5.999999848427251E-5</c:v>
                </c:pt>
                <c:pt idx="2">
                  <c:v>0</c:v>
                </c:pt>
                <c:pt idx="3">
                  <c:v>-1.840000186348334E-5</c:v>
                </c:pt>
                <c:pt idx="4">
                  <c:v>-2.3389999842038378E-4</c:v>
                </c:pt>
                <c:pt idx="5">
                  <c:v>9.1900001280009747E-5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C7-40C5-8E7C-2335B0C007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-1894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C7-40C5-8E7C-2335B0C007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-1894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C7-40C5-8E7C-2335B0C007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-1894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C7-40C5-8E7C-2335B0C007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-1894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C7-40C5-8E7C-2335B0C007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5.2999999999999998E-4</c:v>
                  </c:pt>
                  <c:pt idx="3">
                    <c:v>5.9000000000000003E-4</c:v>
                  </c:pt>
                  <c:pt idx="4">
                    <c:v>7.7999999999999999E-4</c:v>
                  </c:pt>
                  <c:pt idx="5">
                    <c:v>5.9000000000000003E-4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-1894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C7-40C5-8E7C-2335B0C007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3.274472720287258E-4</c:v>
                </c:pt>
                <c:pt idx="1">
                  <c:v>-4.3150242151891372E-5</c:v>
                </c:pt>
                <c:pt idx="2">
                  <c:v>-4.3150242151891372E-5</c:v>
                </c:pt>
                <c:pt idx="3">
                  <c:v>-4.39329190561799E-5</c:v>
                </c:pt>
                <c:pt idx="4">
                  <c:v>-4.4911265186540557E-5</c:v>
                </c:pt>
                <c:pt idx="5">
                  <c:v>-4.5302603638684821E-5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C7-40C5-8E7C-2335B0C0078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-1894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C7-40C5-8E7C-2335B0C00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12424"/>
        <c:axId val="1"/>
      </c:scatterChart>
      <c:valAx>
        <c:axId val="69141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1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037593984962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247650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D73972B-B416-8904-B024-A565028EF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4.57031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28" t="s">
        <v>40</v>
      </c>
      <c r="D2" s="3" t="s">
        <v>45</v>
      </c>
      <c r="E2" s="29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5" t="s">
        <v>39</v>
      </c>
      <c r="D4" s="26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3">
        <v>56274.150300000001</v>
      </c>
      <c r="D7" s="27" t="s">
        <v>54</v>
      </c>
    </row>
    <row r="8" spans="1:7" x14ac:dyDescent="0.2">
      <c r="A8" t="s">
        <v>3</v>
      </c>
      <c r="C8" s="33">
        <v>1.9924770999999999</v>
      </c>
      <c r="D8" s="27" t="s">
        <v>54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-4.3150242151891372E-5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-1.9566922607213155E-7</v>
      </c>
      <c r="D12" s="3"/>
      <c r="E12" s="34" t="s">
        <v>52</v>
      </c>
      <c r="F12" s="35" t="s">
        <v>53</v>
      </c>
    </row>
    <row r="13" spans="1:7" x14ac:dyDescent="0.2">
      <c r="A13" s="10" t="s">
        <v>18</v>
      </c>
      <c r="B13" s="10"/>
      <c r="C13" s="3" t="s">
        <v>13</v>
      </c>
      <c r="E13" s="36" t="s">
        <v>36</v>
      </c>
      <c r="F13" s="37">
        <v>1</v>
      </c>
    </row>
    <row r="14" spans="1:7" x14ac:dyDescent="0.2">
      <c r="A14" s="10"/>
      <c r="B14" s="10"/>
      <c r="C14" s="10"/>
      <c r="E14" s="36" t="s">
        <v>31</v>
      </c>
      <c r="F14" s="38">
        <f ca="1">NOW()+15018.5+$C$9/24</f>
        <v>60520.766437499995</v>
      </c>
    </row>
    <row r="15" spans="1:7" x14ac:dyDescent="0.2">
      <c r="A15" s="12" t="s">
        <v>17</v>
      </c>
      <c r="B15" s="10"/>
      <c r="C15" s="13">
        <f ca="1">(C7+C11)+(C8+C12)*INT(MAX(F21:F3533))</f>
        <v>56296.067502797399</v>
      </c>
      <c r="E15" s="36" t="s">
        <v>37</v>
      </c>
      <c r="F15" s="38">
        <f ca="1">ROUND(2*(F14-$C$7)/$C$8,0)/2+F13</f>
        <v>2132.5</v>
      </c>
    </row>
    <row r="16" spans="1:7" x14ac:dyDescent="0.2">
      <c r="A16" s="15" t="s">
        <v>4</v>
      </c>
      <c r="B16" s="10"/>
      <c r="C16" s="16">
        <f ca="1">+C8+C12</f>
        <v>1.9924769043307737</v>
      </c>
      <c r="E16" s="36" t="s">
        <v>38</v>
      </c>
      <c r="F16" s="39">
        <f ca="1">ROUND(2*(F14-$C$15)/$C$16,0)/2+F13</f>
        <v>2121.5</v>
      </c>
    </row>
    <row r="17" spans="1:19" ht="13.5" thickBot="1" x14ac:dyDescent="0.25">
      <c r="A17" s="14" t="s">
        <v>28</v>
      </c>
      <c r="B17" s="10"/>
      <c r="C17" s="10">
        <f>COUNT(C21:C2191)</f>
        <v>6</v>
      </c>
      <c r="E17" s="36" t="s">
        <v>32</v>
      </c>
      <c r="F17" s="40">
        <f ca="1">+$C$15+$C$16*$F$16-15018.5-$C$9/24</f>
        <v>45505.003088668469</v>
      </c>
    </row>
    <row r="18" spans="1:19" ht="14.25" thickTop="1" thickBot="1" x14ac:dyDescent="0.25">
      <c r="A18" s="15" t="s">
        <v>5</v>
      </c>
      <c r="B18" s="10"/>
      <c r="C18" s="17">
        <f ca="1">+C15</f>
        <v>56296.067502797399</v>
      </c>
      <c r="D18" s="18">
        <f ca="1">+C16</f>
        <v>1.9924769043307737</v>
      </c>
      <c r="E18" s="42" t="s">
        <v>33</v>
      </c>
      <c r="F18" s="41">
        <f ca="1">+($C$15+$C$16*$F$16)-($C$16/2)-15018.5-$C$9/24</f>
        <v>45504.006850216305</v>
      </c>
    </row>
    <row r="19" spans="1:19" ht="13.5" thickTop="1" x14ac:dyDescent="0.2">
      <c r="A19" s="22" t="s">
        <v>34</v>
      </c>
      <c r="E19" s="23">
        <v>21</v>
      </c>
      <c r="S19">
        <f ca="1">SQRT(SUM(S21:S50)/(COUNT(S21:S50)-1))</f>
        <v>1.070878946168069E-4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50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35</v>
      </c>
    </row>
    <row r="21" spans="1:19" x14ac:dyDescent="0.2">
      <c r="A21" t="s">
        <v>47</v>
      </c>
      <c r="C21" s="8">
        <v>52500.398999999998</v>
      </c>
      <c r="D21" s="8" t="s">
        <v>13</v>
      </c>
      <c r="E21">
        <f t="shared" ref="E21:E26" si="0">+(C21-C$7)/C$8</f>
        <v>-1893.9998356819276</v>
      </c>
      <c r="F21">
        <f t="shared" ref="F21:F26" si="1">ROUND(2*E21,0)/2</f>
        <v>-1894</v>
      </c>
      <c r="G21">
        <f t="shared" ref="G21:G26" si="2">+C21-(C$7+F21*C$8)</f>
        <v>3.2739999733166769E-4</v>
      </c>
      <c r="H21">
        <f>+G21</f>
        <v>3.2739999733166769E-4</v>
      </c>
      <c r="O21">
        <f t="shared" ref="O21:O26" ca="1" si="3">+C$11+C$12*$F21</f>
        <v>3.274472720287258E-4</v>
      </c>
      <c r="Q21" s="2">
        <f t="shared" ref="Q21:Q26" si="4">+C21-15018.5</f>
        <v>37481.898999999998</v>
      </c>
      <c r="S21">
        <f t="shared" ref="S21:S26" ca="1" si="5">+(O21-G21)^2</f>
        <v>2.2348969819355359E-15</v>
      </c>
    </row>
    <row r="22" spans="1:19" x14ac:dyDescent="0.2">
      <c r="A22" s="30" t="s">
        <v>48</v>
      </c>
      <c r="B22" s="31" t="s">
        <v>49</v>
      </c>
      <c r="C22" s="32">
        <v>56274.150240000003</v>
      </c>
      <c r="D22" s="32">
        <v>5.2999999999999998E-4</v>
      </c>
      <c r="E22">
        <f t="shared" si="0"/>
        <v>-3.0113268797052932E-5</v>
      </c>
      <c r="F22">
        <f t="shared" si="1"/>
        <v>0</v>
      </c>
      <c r="G22">
        <f t="shared" si="2"/>
        <v>-5.999999848427251E-5</v>
      </c>
      <c r="I22">
        <f>+G22</f>
        <v>-5.999999848427251E-5</v>
      </c>
      <c r="O22">
        <f t="shared" ca="1" si="3"/>
        <v>-4.3150242151891372E-5</v>
      </c>
      <c r="Q22" s="2">
        <f t="shared" si="4"/>
        <v>41255.650240000003</v>
      </c>
      <c r="S22">
        <f t="shared" ca="1" si="5"/>
        <v>2.8391428846061826E-10</v>
      </c>
    </row>
    <row r="23" spans="1:19" x14ac:dyDescent="0.2">
      <c r="A23" t="str">
        <f>$D$7</f>
        <v>VSX</v>
      </c>
      <c r="C23" s="8">
        <f>$C$7</f>
        <v>56274.150300000001</v>
      </c>
      <c r="D23" s="8"/>
      <c r="E23">
        <f t="shared" si="0"/>
        <v>0</v>
      </c>
      <c r="F23">
        <f t="shared" si="1"/>
        <v>0</v>
      </c>
      <c r="G23">
        <f t="shared" si="2"/>
        <v>0</v>
      </c>
      <c r="I23">
        <f>+G23</f>
        <v>0</v>
      </c>
      <c r="O23">
        <f t="shared" ca="1" si="3"/>
        <v>-4.3150242151891372E-5</v>
      </c>
      <c r="Q23" s="2">
        <f t="shared" si="4"/>
        <v>41255.650300000001</v>
      </c>
      <c r="S23">
        <f t="shared" ca="1" si="5"/>
        <v>1.8619433977668629E-9</v>
      </c>
    </row>
    <row r="24" spans="1:19" x14ac:dyDescent="0.2">
      <c r="A24" s="30" t="s">
        <v>48</v>
      </c>
      <c r="B24" s="31" t="s">
        <v>49</v>
      </c>
      <c r="C24" s="32">
        <v>56282.120190000001</v>
      </c>
      <c r="D24" s="32">
        <v>5.9000000000000003E-4</v>
      </c>
      <c r="E24">
        <f t="shared" si="0"/>
        <v>3.9999907652641555</v>
      </c>
      <c r="F24">
        <f t="shared" si="1"/>
        <v>4</v>
      </c>
      <c r="G24">
        <f t="shared" si="2"/>
        <v>-1.840000186348334E-5</v>
      </c>
      <c r="I24">
        <f>+G24</f>
        <v>-1.840000186348334E-5</v>
      </c>
      <c r="O24">
        <f t="shared" ca="1" si="3"/>
        <v>-4.39329190561799E-5</v>
      </c>
      <c r="Q24" s="2">
        <f t="shared" si="4"/>
        <v>41263.620190000001</v>
      </c>
      <c r="S24">
        <f t="shared" ca="1" si="5"/>
        <v>6.5192986036909961E-10</v>
      </c>
    </row>
    <row r="25" spans="1:19" x14ac:dyDescent="0.2">
      <c r="A25" s="30" t="s">
        <v>48</v>
      </c>
      <c r="B25" s="31" t="s">
        <v>49</v>
      </c>
      <c r="C25" s="32">
        <v>56292.08236</v>
      </c>
      <c r="D25" s="32">
        <v>7.7999999999999999E-4</v>
      </c>
      <c r="E25">
        <f t="shared" si="0"/>
        <v>8.9998826084370975</v>
      </c>
      <c r="F25">
        <f t="shared" si="1"/>
        <v>9</v>
      </c>
      <c r="G25">
        <f t="shared" si="2"/>
        <v>-2.3389999842038378E-4</v>
      </c>
      <c r="I25">
        <f>+G25</f>
        <v>-2.3389999842038378E-4</v>
      </c>
      <c r="O25">
        <f t="shared" ca="1" si="3"/>
        <v>-4.4911265186540557E-5</v>
      </c>
      <c r="Q25" s="2">
        <f t="shared" si="4"/>
        <v>41273.58236</v>
      </c>
      <c r="S25">
        <f t="shared" ca="1" si="5"/>
        <v>3.5716741289332758E-8</v>
      </c>
    </row>
    <row r="26" spans="1:19" x14ac:dyDescent="0.2">
      <c r="A26" s="30" t="s">
        <v>48</v>
      </c>
      <c r="B26" s="31" t="s">
        <v>49</v>
      </c>
      <c r="C26" s="32">
        <v>56296.067640000001</v>
      </c>
      <c r="D26" s="32">
        <v>5.9000000000000003E-4</v>
      </c>
      <c r="E26">
        <f t="shared" si="0"/>
        <v>11.00004612349119</v>
      </c>
      <c r="F26">
        <f t="shared" si="1"/>
        <v>11</v>
      </c>
      <c r="G26">
        <f t="shared" si="2"/>
        <v>9.1900001280009747E-5</v>
      </c>
      <c r="I26">
        <f>+G26</f>
        <v>9.1900001280009747E-5</v>
      </c>
      <c r="O26">
        <f t="shared" ca="1" si="3"/>
        <v>-4.5302603638684821E-5</v>
      </c>
      <c r="Q26" s="2">
        <f t="shared" si="4"/>
        <v>41277.567640000001</v>
      </c>
      <c r="S26">
        <f t="shared" ca="1" si="5"/>
        <v>1.8824554796475392E-8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9">
    <sortCondition ref="C21:C29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2024-07-29T06:23:40Z</dcterms:modified>
</cp:coreProperties>
</file>