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DC96EF-7E88-4364-A25B-7A0826E797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C23" i="1"/>
  <c r="C17" i="1" s="1"/>
  <c r="A23" i="1"/>
  <c r="C9" i="1"/>
  <c r="D9" i="1"/>
  <c r="F14" i="1"/>
  <c r="E21" i="1"/>
  <c r="F21" i="1" s="1"/>
  <c r="G21" i="1" s="1"/>
  <c r="I21" i="1" s="1"/>
  <c r="Q21" i="1"/>
  <c r="E22" i="1"/>
  <c r="F22" i="1" s="1"/>
  <c r="G22" i="1" s="1"/>
  <c r="I22" i="1" s="1"/>
  <c r="Q22" i="1"/>
  <c r="E24" i="1"/>
  <c r="F24" i="1"/>
  <c r="G24" i="1" s="1"/>
  <c r="K24" i="1" s="1"/>
  <c r="Q24" i="1"/>
  <c r="E25" i="1"/>
  <c r="F25" i="1"/>
  <c r="G25" i="1" s="1"/>
  <c r="K25" i="1" s="1"/>
  <c r="Q25" i="1"/>
  <c r="C12" i="1"/>
  <c r="C11" i="1"/>
  <c r="O23" i="1" l="1"/>
  <c r="O22" i="1"/>
  <c r="O24" i="1"/>
  <c r="O25" i="1"/>
  <c r="O21" i="1"/>
  <c r="C15" i="1"/>
  <c r="C16" i="1"/>
  <c r="D18" i="1" s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<sst xmlns="http://schemas.openxmlformats.org/spreadsheetml/2006/main" count="61" uniqueCount="57">
  <si>
    <t>AZ Vel</t>
  </si>
  <si>
    <t>G7673-0186</t>
  </si>
  <si>
    <t>EA</t>
  </si>
  <si>
    <t>pr_0</t>
  </si>
  <si>
    <t>~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</si>
  <si>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</si>
  <si>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</si>
  <si>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</si>
  <si>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</si>
  <si>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</si>
  <si>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</si>
  <si>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Kreiner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</si>
  <si>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</si>
  <si>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</si>
  <si>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</si>
  <si>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</si>
  <si>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</si>
  <si>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</si>
  <si>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</si>
  <si>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</si>
  <si>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</si>
  <si>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</si>
  <si>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</si>
  <si>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</si>
  <si>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</si>
  <si>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</si>
  <si>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</si>
  <si>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</si>
  <si>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</si>
  <si>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</si>
  <si>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</si>
  <si>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</si>
  <si>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</si>
  <si>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</si>
  <si>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</si>
  <si>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</si>
  <si>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</si>
  <si>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</si>
  <si>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</si>
  <si>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</si>
  <si>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</si>
  <si>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</si>
  <si>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</si>
  <si>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</si>
  <si>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</si>
  <si>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</si>
  <si>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GCVS</t>
  </si>
  <si>
    <t>OEJV 0179</t>
  </si>
  <si>
    <t>I</t>
  </si>
  <si>
    <t>OEJV 0211</t>
  </si>
  <si>
    <t>AZ Vel / GSC 7673-0186</t>
  </si>
  <si>
    <t>EA/SD</t>
  </si>
  <si>
    <t>12.7-13.60</t>
  </si>
  <si>
    <t xml:space="preserve">Mag p 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</si>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</sst>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d/mm/yyyy;@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5" xfId="0" applyBorder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horizontal="right"/>
    </xf>
    <xf numFmtId="0" fontId="0" fillId="4" borderId="6" xfId="0" applyFill="1" applyBorder="1" applyAlignment="1">
      <alignment horizontal="right" vertical="center"/>
    </xf>
    <xf numFmtId="0" fontId="0" fillId="4" borderId="7" xfId="0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Vel - O-C Diagr.</a:t>
            </a:r>
          </a:p>
        </c:rich>
      </c:tx>
      <c:layout>
        <c:manualLayout>
          <c:xMode val="edge"/>
          <c:yMode val="edge"/>
          <c:x val="0.3793798522932381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361367666879478"/>
          <c:w val="0.81231350341577424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Active!$H$21:$H$240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1-4CC5-8070-4705944EFE2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Active!$I$21:$I$240</c:f>
              <c:numCache>
                <c:formatCode>General</c:formatCode>
                <c:ptCount val="220"/>
                <c:pt idx="0">
                  <c:v>-4.8142649993678788E-2</c:v>
                </c:pt>
                <c:pt idx="1">
                  <c:v>1.621210001030704E-2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91-4CC5-8070-4705944EFE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Active!$J$21:$J$240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91-4CC5-8070-4705944EFE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Active!$K$21:$K$240</c:f>
              <c:numCache>
                <c:formatCode>General</c:formatCode>
                <c:ptCount val="220"/>
                <c:pt idx="2">
                  <c:v>0</c:v>
                </c:pt>
                <c:pt idx="3">
                  <c:v>6.1176500021247193E-3</c:v>
                </c:pt>
                <c:pt idx="4">
                  <c:v>-0.18935840020276373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91-4CC5-8070-4705944EFE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Active!$L$21:$L$240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91-4CC5-8070-4705944EFE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Active!$M$21:$M$240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91-4CC5-8070-4705944EFE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Active!$N$21:$N$240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91-4CC5-8070-4705944EFE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Active!$O$21:$O$240</c:f>
              <c:numCache>
                <c:formatCode>General</c:formatCode>
                <c:ptCount val="220"/>
                <c:pt idx="0">
                  <c:v>0.65933037882327916</c:v>
                </c:pt>
                <c:pt idx="1">
                  <c:v>1.9206253808448863E-2</c:v>
                </c:pt>
                <c:pt idx="2">
                  <c:v>1.179245343621492E-2</c:v>
                </c:pt>
                <c:pt idx="3">
                  <c:v>-8.961437582827253E-2</c:v>
                </c:pt>
                <c:pt idx="4">
                  <c:v>-0.10841298160672323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91-4CC5-8070-4705944EFE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Active!$F$21:$F$240</c:f>
              <c:numCache>
                <c:formatCode>General</c:formatCode>
                <c:ptCount val="220"/>
                <c:pt idx="0">
                  <c:v>-34325.5</c:v>
                </c:pt>
                <c:pt idx="1">
                  <c:v>-393</c:v>
                </c:pt>
                <c:pt idx="2">
                  <c:v>0</c:v>
                </c:pt>
                <c:pt idx="3">
                  <c:v>5375.5</c:v>
                </c:pt>
                <c:pt idx="4">
                  <c:v>6372</c:v>
                </c:pt>
              </c:numCache>
            </c:numRef>
          </c:xVal>
          <c:yVal>
            <c:numRef>
              <c:f>Active!$U$21:$U$240</c:f>
              <c:numCache>
                <c:formatCode>General</c:formatCode>
                <c:ptCount val="2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91-4CC5-8070-4705944E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39264"/>
        <c:axId val="1"/>
      </c:scatterChart>
      <c:valAx>
        <c:axId val="6823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39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F0E151-F8F0-CC86-5835-A30ADA095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1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50</v>
      </c>
      <c r="F1" s="3" t="s">
        <v>0</v>
      </c>
      <c r="G1" s="4">
        <v>0</v>
      </c>
      <c r="H1" s="5"/>
      <c r="I1" s="6" t="s">
        <v>1</v>
      </c>
      <c r="J1" s="7" t="s">
        <v>0</v>
      </c>
      <c r="K1" s="8">
        <v>8.2251899999999996</v>
      </c>
      <c r="L1" s="9">
        <v>-44.2545</v>
      </c>
      <c r="M1" s="10">
        <v>52500.571000000004</v>
      </c>
      <c r="N1" s="10">
        <v>0.77577739999999995</v>
      </c>
      <c r="O1" s="11" t="s">
        <v>2</v>
      </c>
      <c r="P1" s="9">
        <v>12.7</v>
      </c>
      <c r="Q1" s="9">
        <v>13.6</v>
      </c>
      <c r="R1" s="12" t="s">
        <v>3</v>
      </c>
      <c r="S1" s="13" t="s">
        <v>4</v>
      </c>
    </row>
    <row r="2" spans="1:19" x14ac:dyDescent="0.2">
      <c r="A2" s="1" t="s">
        <v>5</v>
      </c>
      <c r="B2" s="1" t="s">
        <v>51</v>
      </c>
      <c r="C2" s="14"/>
      <c r="D2" s="15"/>
    </row>
    <row r="4" spans="1:19" x14ac:dyDescent="0.2">
      <c r="A4" s="16" t="s">
        <v>6</v>
      </c>
      <c r="C4" s="17">
        <v>26175.344000000001</v>
      </c>
      <c r="D4" s="18">
        <v>0.77577764999999999</v>
      </c>
    </row>
    <row r="5" spans="1:19" x14ac:dyDescent="0.2">
      <c r="A5" s="19" t="s">
        <v>7</v>
      </c>
      <c r="B5"/>
      <c r="C5" s="20">
        <v>-9.5</v>
      </c>
      <c r="D5" t="s">
        <v>8</v>
      </c>
      <c r="E5"/>
    </row>
    <row r="6" spans="1:19" x14ac:dyDescent="0.2">
      <c r="A6" s="16" t="s">
        <v>9</v>
      </c>
    </row>
    <row r="7" spans="1:19" x14ac:dyDescent="0.2">
      <c r="A7" s="1" t="s">
        <v>10</v>
      </c>
      <c r="C7" s="39">
        <v>52805.447999999997</v>
      </c>
      <c r="D7" s="11" t="s">
        <v>56</v>
      </c>
    </row>
    <row r="8" spans="1:19" x14ac:dyDescent="0.2">
      <c r="A8" s="1" t="s">
        <v>12</v>
      </c>
      <c r="C8" s="39">
        <v>0.77580970000000005</v>
      </c>
      <c r="D8" s="22" t="s">
        <v>56</v>
      </c>
    </row>
    <row r="9" spans="1:19" x14ac:dyDescent="0.2">
      <c r="A9" s="23" t="s">
        <v>13</v>
      </c>
      <c r="B9" s="24">
        <v>22</v>
      </c>
      <c r="C9" s="25" t="str">
        <f>"F"&amp;B9</f>
        <v>F22</v>
      </c>
      <c r="D9" s="26" t="str">
        <f>"G"&amp;B9</f>
        <v>G22</v>
      </c>
    </row>
    <row r="10" spans="1:19" x14ac:dyDescent="0.2">
      <c r="A10"/>
      <c r="B10"/>
      <c r="C10" s="27" t="s">
        <v>14</v>
      </c>
      <c r="D10" s="27" t="s">
        <v>15</v>
      </c>
      <c r="E10"/>
    </row>
    <row r="11" spans="1:19" x14ac:dyDescent="0.2">
      <c r="A11" t="s">
        <v>16</v>
      </c>
      <c r="B11"/>
      <c r="C11" s="28">
        <f ca="1">INTERCEPT(INDIRECT($D$9):G992,INDIRECT($C$9):F992)</f>
        <v>1.179245343621492E-2</v>
      </c>
      <c r="D11" s="15"/>
      <c r="E11"/>
    </row>
    <row r="12" spans="1:19" x14ac:dyDescent="0.2">
      <c r="A12" t="s">
        <v>17</v>
      </c>
      <c r="B12"/>
      <c r="C12" s="28">
        <f ca="1">SLOPE(INDIRECT($D$9):G992,INDIRECT($C$9):F992)</f>
        <v>-1.886463199041716E-5</v>
      </c>
      <c r="D12" s="15"/>
      <c r="E12" s="40" t="s">
        <v>53</v>
      </c>
      <c r="F12" s="41" t="s">
        <v>52</v>
      </c>
    </row>
    <row r="13" spans="1:19" x14ac:dyDescent="0.2">
      <c r="A13" t="s">
        <v>18</v>
      </c>
      <c r="B13"/>
      <c r="C13" s="15" t="s">
        <v>19</v>
      </c>
      <c r="E13" s="42" t="s">
        <v>21</v>
      </c>
      <c r="F13" s="43">
        <v>1</v>
      </c>
    </row>
    <row r="14" spans="1:19" x14ac:dyDescent="0.2">
      <c r="A14"/>
      <c r="B14"/>
      <c r="C14"/>
      <c r="E14" s="42" t="s">
        <v>23</v>
      </c>
      <c r="F14" s="44">
        <f ca="1">NOW()+15018.5+$C$5/24</f>
        <v>60520.789959374997</v>
      </c>
    </row>
    <row r="15" spans="1:19" x14ac:dyDescent="0.2">
      <c r="A15" s="29" t="s">
        <v>20</v>
      </c>
      <c r="B15"/>
      <c r="C15" s="30">
        <f ca="1">(C7+C11)+(C8+C12)*INT(MAX(F21:F3533))</f>
        <v>57748.798995418387</v>
      </c>
      <c r="E15" s="42" t="s">
        <v>25</v>
      </c>
      <c r="F15" s="44">
        <f ca="1">ROUND(2*(F14-$C$7)/$C$8,0)/2+F13</f>
        <v>9946</v>
      </c>
    </row>
    <row r="16" spans="1:19" x14ac:dyDescent="0.2">
      <c r="A16" s="29" t="s">
        <v>22</v>
      </c>
      <c r="B16"/>
      <c r="C16" s="30">
        <f ca="1">+C8+C12</f>
        <v>0.77579083536800963</v>
      </c>
      <c r="E16" s="42" t="s">
        <v>27</v>
      </c>
      <c r="F16" s="44">
        <f ca="1">ROUND(2*(F14-$C$15)/$C$16,0)/2+F13</f>
        <v>3574</v>
      </c>
    </row>
    <row r="17" spans="1:21" x14ac:dyDescent="0.2">
      <c r="A17" s="23" t="s">
        <v>24</v>
      </c>
      <c r="B17"/>
      <c r="C17">
        <f>COUNT(C21:C2191)</f>
        <v>5</v>
      </c>
      <c r="E17" s="42" t="s">
        <v>54</v>
      </c>
      <c r="F17" s="45">
        <f ca="1">+$C$15+$C$16*F16-15018.5-$C$5/24</f>
        <v>45503.371274356992</v>
      </c>
    </row>
    <row r="18" spans="1:21" x14ac:dyDescent="0.2">
      <c r="A18" s="29" t="s">
        <v>26</v>
      </c>
      <c r="B18"/>
      <c r="C18" s="31">
        <f ca="1">+C15</f>
        <v>57748.798995418387</v>
      </c>
      <c r="D18" s="32">
        <f ca="1">+C16</f>
        <v>0.77579083536800963</v>
      </c>
      <c r="E18" s="47" t="s">
        <v>55</v>
      </c>
      <c r="F18" s="46">
        <f ca="1">+($C$15+$C$16*$F$16)-($C$16/2)-15018.5-$C$5/24</f>
        <v>45502.983378939309</v>
      </c>
    </row>
    <row r="20" spans="1:21" x14ac:dyDescent="0.2">
      <c r="A20" s="27" t="s">
        <v>28</v>
      </c>
      <c r="B20" s="27" t="s">
        <v>29</v>
      </c>
      <c r="C20" s="27" t="s">
        <v>30</v>
      </c>
      <c r="D20" s="27" t="s">
        <v>31</v>
      </c>
      <c r="E20" s="27" t="s">
        <v>32</v>
      </c>
      <c r="F20" s="27" t="s">
        <v>33</v>
      </c>
      <c r="G20" s="27" t="s">
        <v>34</v>
      </c>
      <c r="H20" s="33" t="s">
        <v>35</v>
      </c>
      <c r="I20" s="33" t="s">
        <v>36</v>
      </c>
      <c r="J20" s="33" t="s">
        <v>37</v>
      </c>
      <c r="K20" s="33" t="s">
        <v>38</v>
      </c>
      <c r="L20" s="33" t="s">
        <v>39</v>
      </c>
      <c r="M20" s="33" t="s">
        <v>40</v>
      </c>
      <c r="N20" s="33" t="s">
        <v>41</v>
      </c>
      <c r="O20" s="33" t="s">
        <v>42</v>
      </c>
      <c r="P20" s="33" t="s">
        <v>43</v>
      </c>
      <c r="Q20" s="27" t="s">
        <v>44</v>
      </c>
      <c r="U20" s="34" t="s">
        <v>45</v>
      </c>
    </row>
    <row r="21" spans="1:21" x14ac:dyDescent="0.2">
      <c r="A21" s="1" t="s">
        <v>46</v>
      </c>
      <c r="C21" s="21">
        <v>26175.344000000001</v>
      </c>
      <c r="D21" s="21"/>
      <c r="E21" s="1">
        <f>+(C21-C$7)/C$8</f>
        <v>-34325.562054715214</v>
      </c>
      <c r="F21" s="1">
        <f>ROUND(2*E21,0)/2</f>
        <v>-34325.5</v>
      </c>
      <c r="G21" s="1">
        <f>+C21-(C$7+F21*C$8)</f>
        <v>-4.8142649993678788E-2</v>
      </c>
      <c r="I21" s="1">
        <f>+G21</f>
        <v>-4.8142649993678788E-2</v>
      </c>
      <c r="O21" s="1">
        <f ca="1">+C$11+C$12*$F21</f>
        <v>0.65933037882327916</v>
      </c>
      <c r="Q21" s="38">
        <f>+C21-15018.5</f>
        <v>11156.844000000001</v>
      </c>
    </row>
    <row r="22" spans="1:21" x14ac:dyDescent="0.2">
      <c r="A22" s="1" t="s">
        <v>11</v>
      </c>
      <c r="C22" s="21">
        <v>52500.571000000004</v>
      </c>
      <c r="D22" s="21" t="s">
        <v>19</v>
      </c>
      <c r="E22" s="1">
        <f>+(C22-C$7)/C$8</f>
        <v>-392.97910299393408</v>
      </c>
      <c r="F22" s="1">
        <f>ROUND(2*E22,0)/2</f>
        <v>-393</v>
      </c>
      <c r="G22" s="1">
        <f>+C22-(C$7+F22*C$8)</f>
        <v>1.621210001030704E-2</v>
      </c>
      <c r="I22" s="1">
        <f>+G22</f>
        <v>1.621210001030704E-2</v>
      </c>
      <c r="O22" s="1">
        <f ca="1">+C$11+C$12*$F22</f>
        <v>1.9206253808448863E-2</v>
      </c>
      <c r="Q22" s="38">
        <f>+C22-15018.5</f>
        <v>37482.071000000004</v>
      </c>
    </row>
    <row r="23" spans="1:21" x14ac:dyDescent="0.2">
      <c r="A23" s="1" t="str">
        <f>$D$7</f>
        <v>VSX</v>
      </c>
      <c r="C23" s="21">
        <f>$C$7</f>
        <v>52805.447999999997</v>
      </c>
      <c r="D23" s="21"/>
      <c r="E23" s="1">
        <f>+(C23-C$7)/C$8</f>
        <v>0</v>
      </c>
      <c r="F23" s="1">
        <f>ROUND(2*E23,0)/2</f>
        <v>0</v>
      </c>
      <c r="G23" s="1">
        <f>+C23-(C$7+F23*C$8)</f>
        <v>0</v>
      </c>
      <c r="K23" s="1">
        <f>+G23</f>
        <v>0</v>
      </c>
      <c r="O23" s="1">
        <f ca="1">+C$11+C$12*$F23</f>
        <v>1.179245343621492E-2</v>
      </c>
      <c r="Q23" s="38">
        <f>+C23-15018.5</f>
        <v>37786.947999999997</v>
      </c>
    </row>
    <row r="24" spans="1:21" x14ac:dyDescent="0.2">
      <c r="A24" s="35" t="s">
        <v>47</v>
      </c>
      <c r="B24" s="36" t="s">
        <v>48</v>
      </c>
      <c r="C24" s="37">
        <v>56975.819159999999</v>
      </c>
      <c r="D24" s="37">
        <v>1E-4</v>
      </c>
      <c r="E24" s="1">
        <f>+(C24-C$7)/C$8</f>
        <v>5375.507885503368</v>
      </c>
      <c r="F24" s="1">
        <f>ROUND(2*E24,0)/2</f>
        <v>5375.5</v>
      </c>
      <c r="G24" s="1">
        <f>+C24-(C$7+F24*C$8)</f>
        <v>6.1176500021247193E-3</v>
      </c>
      <c r="K24" s="1">
        <f>+G24</f>
        <v>6.1176500021247193E-3</v>
      </c>
      <c r="O24" s="1">
        <f ca="1">+C$11+C$12*$F24</f>
        <v>-8.961437582827253E-2</v>
      </c>
      <c r="Q24" s="38">
        <f>+C24-15018.5</f>
        <v>41957.319159999999</v>
      </c>
    </row>
    <row r="25" spans="1:21" x14ac:dyDescent="0.2">
      <c r="A25" s="35" t="s">
        <v>49</v>
      </c>
      <c r="B25" s="36" t="s">
        <v>48</v>
      </c>
      <c r="C25" s="37">
        <v>57748.718049999792</v>
      </c>
      <c r="D25" s="37">
        <v>1E-4</v>
      </c>
      <c r="E25" s="1">
        <f>+(C25-C$7)/C$8</f>
        <v>6371.7559215872079</v>
      </c>
      <c r="F25" s="1">
        <f>ROUND(2*E25,0)/2</f>
        <v>6372</v>
      </c>
      <c r="G25" s="1">
        <f>+C25-(C$7+F25*C$8)</f>
        <v>-0.18935840020276373</v>
      </c>
      <c r="K25" s="1">
        <f>+G25</f>
        <v>-0.18935840020276373</v>
      </c>
      <c r="O25" s="1">
        <f ca="1">+C$11+C$12*$F25</f>
        <v>-0.10841298160672323</v>
      </c>
      <c r="Q25" s="38">
        <f>+C25-15018.5</f>
        <v>42730.218049999792</v>
      </c>
    </row>
    <row r="26" spans="1:21" x14ac:dyDescent="0.2">
      <c r="C26" s="21"/>
      <c r="D26" s="21"/>
    </row>
    <row r="27" spans="1:21" x14ac:dyDescent="0.2">
      <c r="C27" s="21"/>
      <c r="D27" s="21"/>
    </row>
    <row r="28" spans="1:21" x14ac:dyDescent="0.2">
      <c r="C28" s="21"/>
      <c r="D28" s="21"/>
    </row>
    <row r="29" spans="1:21" x14ac:dyDescent="0.2">
      <c r="C29" s="21"/>
      <c r="D29" s="21"/>
    </row>
    <row r="30" spans="1:21" x14ac:dyDescent="0.2">
      <c r="C30" s="21"/>
      <c r="D30" s="21"/>
    </row>
    <row r="31" spans="1:21" x14ac:dyDescent="0.2">
      <c r="C31" s="21"/>
      <c r="D31" s="21"/>
    </row>
  </sheetData>
  <sheetProtection selectLockedCells="1" selectUnlockedCells="1"/>
  <sortState xmlns:xlrd2="http://schemas.microsoft.com/office/spreadsheetml/2017/richdata2" ref="A21:V29">
    <sortCondition ref="C21:C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2024-01-17T04:46:16Z</dcterms:created>
  <dcterms:modified xsi:type="dcterms:W3CDTF">2024-07-29T06:57:32Z</dcterms:modified>
</cp:coreProperties>
</file>