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2FF7FDC5-39F7-4BDC-8BDF-575CE421FA8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I22" i="1" s="1"/>
  <c r="E23" i="1"/>
  <c r="F23" i="1"/>
  <c r="G23" i="1" s="1"/>
  <c r="I23" i="1" s="1"/>
  <c r="Q22" i="1"/>
  <c r="Q23" i="1"/>
  <c r="F11" i="1"/>
  <c r="E21" i="1"/>
  <c r="F21" i="1"/>
  <c r="G21" i="1" s="1"/>
  <c r="H21" i="1" s="1"/>
  <c r="H20" i="1"/>
  <c r="G11" i="1"/>
  <c r="F14" i="1"/>
  <c r="F15" i="1" s="1"/>
  <c r="Q21" i="1"/>
  <c r="C17" i="1"/>
  <c r="C11" i="1"/>
  <c r="C12" i="1" l="1"/>
  <c r="C15" i="1" l="1"/>
  <c r="C16" i="1"/>
  <c r="D18" i="1" s="1"/>
  <c r="O21" i="1"/>
  <c r="S21" i="1" s="1"/>
  <c r="O22" i="1"/>
  <c r="S22" i="1" s="1"/>
  <c r="O23" i="1"/>
  <c r="S23" i="1" s="1"/>
  <c r="S19" i="1" l="1"/>
  <c r="F16" i="1"/>
  <c r="F17" i="1" s="1"/>
  <c r="C18" i="1"/>
  <c r="F18" i="1" l="1"/>
</calcChain>
</file>

<file path=xl/sharedStrings.xml><?xml version="1.0" encoding="utf-8"?>
<sst xmlns="http://schemas.openxmlformats.org/spreadsheetml/2006/main" count="61" uniqueCount="54">
  <si>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</si>
  <si>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</si>
  <si>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</si>
  <si>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</si>
  <si>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</si>
  <si>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</si>
  <si>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</si>
  <si>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</si>
  <si>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</si>
  <si>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</si>
  <si>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</si>
  <si>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</si>
  <si>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</si>
  <si>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</si>
  <si>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</si>
  <si>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</si>
  <si>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</si>
  <si>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</si>
  <si>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</si>
  <si>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</si>
  <si>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</si>
  <si>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</si>
  <si>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</si>
  <si>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</si>
  <si>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</si>
  <si>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</si>
  <si>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</si>
  <si>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</si>
  <si>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</si>
  <si>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</si>
  <si>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</si>
  <si>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</si>
  <si>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</si>
  <si>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</si>
  <si>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</si>
  <si>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</si>
  <si>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</si>
  <si>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</si>
  <si>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</si>
  <si>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EF Vel</t>
  </si>
  <si>
    <t>EF Vel / GSC na</t>
  </si>
  <si>
    <t>Vel_EF.xls</t>
  </si>
  <si>
    <t>EA</t>
  </si>
  <si>
    <t>Vel</t>
  </si>
  <si>
    <t>Malkov</t>
  </si>
  <si>
    <t>VSS_2013-01-28</t>
  </si>
  <si>
    <t>I</t>
  </si>
  <si>
    <t>CCD</t>
  </si>
  <si>
    <t>S3</t>
  </si>
  <si>
    <t>VSX</t>
  </si>
  <si>
    <t xml:space="preserve">Mag </t>
  </si>
  <si>
    <t>13.56-15.20</t>
  </si>
  <si>
    <t>Next ToM-P</t>
  </si>
  <si>
    <t>Next ToM-S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</si>
</sst>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1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2" applyNumberFormat="0" applyFont="0" applyFill="0" applyAlignment="0" applyProtection="0"/>
  </cellStyleXfs>
  <cellXfs count="4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5" fillId="0" borderId="0" xfId="0" applyFont="1" applyAlignment="1"/>
    <xf numFmtId="0" fontId="5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13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0" fillId="2" borderId="1" xfId="0" applyFill="1" applyBorder="1">
      <alignment vertical="top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0" fillId="0" borderId="0" xfId="0" applyAlignment="1">
      <alignment horizontal="right"/>
    </xf>
    <xf numFmtId="0" fontId="15" fillId="3" borderId="6" xfId="0" applyFont="1" applyFill="1" applyBorder="1" applyAlignment="1">
      <alignment horizontal="right" vertical="center"/>
    </xf>
    <xf numFmtId="0" fontId="15" fillId="3" borderId="7" xfId="0" applyFont="1" applyFill="1" applyBorder="1" applyAlignment="1">
      <alignment horizontal="center" vertical="center"/>
    </xf>
    <xf numFmtId="0" fontId="16" fillId="0" borderId="8" xfId="0" applyFont="1" applyBorder="1" applyAlignment="1">
      <alignment horizontal="right" vertical="center"/>
    </xf>
    <xf numFmtId="0" fontId="11" fillId="0" borderId="9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22" fontId="7" fillId="0" borderId="9" xfId="0" applyNumberFormat="1" applyFont="1" applyBorder="1" applyAlignment="1">
      <alignment horizontal="right" vertical="center"/>
    </xf>
    <xf numFmtId="22" fontId="17" fillId="0" borderId="10" xfId="0" applyNumberFormat="1" applyFont="1" applyBorder="1" applyAlignment="1">
      <alignment horizontal="right" vertical="center"/>
    </xf>
    <xf numFmtId="0" fontId="16" fillId="0" borderId="11" xfId="0" applyFont="1" applyBorder="1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EF Vel - O-C Diagr.</a:t>
            </a:r>
          </a:p>
        </c:rich>
      </c:tx>
      <c:layout>
        <c:manualLayout>
          <c:xMode val="edge"/>
          <c:yMode val="edge"/>
          <c:x val="0.3909774436090225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2406015037593983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Malkov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4.8000000000000001E-4</c:v>
                  </c:pt>
                  <c:pt idx="2">
                    <c:v>2.2000000000000001E-3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4.8000000000000001E-4</c:v>
                  </c:pt>
                  <c:pt idx="2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8207</c:v>
                </c:pt>
                <c:pt idx="2">
                  <c:v>8209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94-4FE5-8DFC-6661AD7D1DA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4.8000000000000001E-4</c:v>
                  </c:pt>
                  <c:pt idx="2">
                    <c:v>2.2000000000000001E-3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4.8000000000000001E-4</c:v>
                  </c:pt>
                  <c:pt idx="2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8207</c:v>
                </c:pt>
                <c:pt idx="2">
                  <c:v>8209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-8.6079999993671663E-2</c:v>
                </c:pt>
                <c:pt idx="2">
                  <c:v>-8.2449999994423706E-2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94-4FE5-8DFC-6661AD7D1DA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4.8000000000000001E-4</c:v>
                  </c:pt>
                  <c:pt idx="2">
                    <c:v>2.2000000000000001E-3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4.8000000000000001E-4</c:v>
                  </c:pt>
                  <c:pt idx="2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8207</c:v>
                </c:pt>
                <c:pt idx="2">
                  <c:v>8209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94-4FE5-8DFC-6661AD7D1DA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4.8000000000000001E-4</c:v>
                  </c:pt>
                  <c:pt idx="2">
                    <c:v>2.2000000000000001E-3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4.8000000000000001E-4</c:v>
                  </c:pt>
                  <c:pt idx="2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8207</c:v>
                </c:pt>
                <c:pt idx="2">
                  <c:v>8209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94-4FE5-8DFC-6661AD7D1DA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4.8000000000000001E-4</c:v>
                  </c:pt>
                  <c:pt idx="2">
                    <c:v>2.2000000000000001E-3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4.8000000000000001E-4</c:v>
                  </c:pt>
                  <c:pt idx="2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8207</c:v>
                </c:pt>
                <c:pt idx="2">
                  <c:v>8209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94-4FE5-8DFC-6661AD7D1DA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4.8000000000000001E-4</c:v>
                  </c:pt>
                  <c:pt idx="2">
                    <c:v>2.2000000000000001E-3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4.8000000000000001E-4</c:v>
                  </c:pt>
                  <c:pt idx="2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8207</c:v>
                </c:pt>
                <c:pt idx="2">
                  <c:v>8209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94-4FE5-8DFC-6661AD7D1DA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4.8000000000000001E-4</c:v>
                  </c:pt>
                  <c:pt idx="2">
                    <c:v>2.2000000000000001E-3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4.8000000000000001E-4</c:v>
                  </c:pt>
                  <c:pt idx="2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8207</c:v>
                </c:pt>
                <c:pt idx="2">
                  <c:v>8209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94-4FE5-8DFC-6661AD7D1DA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8207</c:v>
                </c:pt>
                <c:pt idx="2">
                  <c:v>8209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-4.4475295372242707E-7</c:v>
                </c:pt>
                <c:pt idx="1">
                  <c:v>-8.425451149514579E-2</c:v>
                </c:pt>
                <c:pt idx="2">
                  <c:v>-8.4275043739995864E-2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94-4FE5-8DFC-6661AD7D1DA0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8207</c:v>
                </c:pt>
                <c:pt idx="2">
                  <c:v>8209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94-4FE5-8DFC-6661AD7D1D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4892240"/>
        <c:axId val="1"/>
      </c:scatterChart>
      <c:valAx>
        <c:axId val="3048922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048922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849624060150375"/>
          <c:y val="0.92375366568914952"/>
          <c:w val="0.74736842105263157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17</xdr:col>
      <xdr:colOff>142875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C3F03DDF-D2F2-36B2-6AD8-069E5F4131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4" sqref="F4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2.42578125" customWidth="1"/>
    <col min="6" max="6" width="15.71093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40</v>
      </c>
      <c r="E1" t="s">
        <v>41</v>
      </c>
    </row>
    <row r="2" spans="1:7" x14ac:dyDescent="0.2">
      <c r="A2" t="s">
        <v>23</v>
      </c>
      <c r="B2" t="s">
        <v>42</v>
      </c>
      <c r="C2" s="28" t="s">
        <v>38</v>
      </c>
      <c r="D2" s="3" t="s">
        <v>43</v>
      </c>
      <c r="E2" s="29" t="s">
        <v>39</v>
      </c>
      <c r="F2" t="s">
        <v>13</v>
      </c>
    </row>
    <row r="3" spans="1:7" ht="13.5" thickBot="1" x14ac:dyDescent="0.25">
      <c r="E3" t="s">
        <v>13</v>
      </c>
    </row>
    <row r="4" spans="1:7" ht="14.25" thickTop="1" thickBot="1" x14ac:dyDescent="0.25">
      <c r="A4" s="5" t="s">
        <v>0</v>
      </c>
      <c r="C4" s="25" t="s">
        <v>37</v>
      </c>
      <c r="D4" s="26" t="s">
        <v>37</v>
      </c>
    </row>
    <row r="6" spans="1:7" x14ac:dyDescent="0.2">
      <c r="A6" s="5" t="s">
        <v>1</v>
      </c>
    </row>
    <row r="7" spans="1:7" x14ac:dyDescent="0.2">
      <c r="A7" t="s">
        <v>2</v>
      </c>
      <c r="C7" s="33">
        <v>30879.152999999998</v>
      </c>
      <c r="D7" s="27" t="s">
        <v>44</v>
      </c>
    </row>
    <row r="8" spans="1:7" x14ac:dyDescent="0.2">
      <c r="A8" t="s">
        <v>3</v>
      </c>
      <c r="C8" s="33">
        <v>3.06955</v>
      </c>
      <c r="D8" s="27" t="s">
        <v>49</v>
      </c>
    </row>
    <row r="9" spans="1:7" x14ac:dyDescent="0.2">
      <c r="A9" s="9" t="s">
        <v>29</v>
      </c>
      <c r="B9" s="10"/>
      <c r="C9" s="11">
        <v>-9.5</v>
      </c>
      <c r="D9" s="10" t="s">
        <v>30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19">
        <f ca="1">INTERCEPT(INDIRECT($G$11):G992,INDIRECT($F$11):F992)</f>
        <v>-4.4475295372242707E-7</v>
      </c>
      <c r="D11" s="3"/>
      <c r="E11" s="10"/>
      <c r="F11" s="20" t="str">
        <f>"F"&amp;E19</f>
        <v>F21</v>
      </c>
      <c r="G11" s="21" t="str">
        <f>"G"&amp;E19</f>
        <v>G21</v>
      </c>
    </row>
    <row r="12" spans="1:7" x14ac:dyDescent="0.2">
      <c r="A12" s="10" t="s">
        <v>16</v>
      </c>
      <c r="B12" s="10"/>
      <c r="C12" s="19">
        <f ca="1">SLOPE(INDIRECT($G$11):G992,INDIRECT($F$11):F992)</f>
        <v>-1.026612242502645E-5</v>
      </c>
      <c r="D12" s="3"/>
      <c r="E12" s="34" t="s">
        <v>50</v>
      </c>
      <c r="F12" s="35" t="s">
        <v>51</v>
      </c>
    </row>
    <row r="13" spans="1:7" x14ac:dyDescent="0.2">
      <c r="A13" s="10" t="s">
        <v>18</v>
      </c>
      <c r="B13" s="10"/>
      <c r="C13" s="3" t="s">
        <v>13</v>
      </c>
      <c r="E13" s="36" t="s">
        <v>34</v>
      </c>
      <c r="F13" s="37">
        <v>1</v>
      </c>
    </row>
    <row r="14" spans="1:7" x14ac:dyDescent="0.2">
      <c r="A14" s="10"/>
      <c r="B14" s="10"/>
      <c r="C14" s="10"/>
      <c r="E14" s="36" t="s">
        <v>31</v>
      </c>
      <c r="F14" s="38">
        <f ca="1">NOW()+15018.5+$C$9/24</f>
        <v>60520.795376504626</v>
      </c>
    </row>
    <row r="15" spans="1:7" x14ac:dyDescent="0.2">
      <c r="A15" s="12" t="s">
        <v>17</v>
      </c>
      <c r="B15" s="10"/>
      <c r="C15" s="13">
        <f ca="1">(C7+C11)+(C8+C12)*INT(MAX(F21:F3533))</f>
        <v>56077.004674956261</v>
      </c>
      <c r="E15" s="36" t="s">
        <v>35</v>
      </c>
      <c r="F15" s="38">
        <f ca="1">ROUND(2*(F14-$C$7)/$C$8,0)/2+F13</f>
        <v>9657.5</v>
      </c>
    </row>
    <row r="16" spans="1:7" x14ac:dyDescent="0.2">
      <c r="A16" s="15" t="s">
        <v>4</v>
      </c>
      <c r="B16" s="10"/>
      <c r="C16" s="16">
        <f ca="1">+C8+C12</f>
        <v>3.0695397338775749</v>
      </c>
      <c r="E16" s="36" t="s">
        <v>36</v>
      </c>
      <c r="F16" s="39">
        <f ca="1">ROUND(2*(F14-$C$15)/$C$16,0)/2+F13</f>
        <v>1448.5</v>
      </c>
    </row>
    <row r="17" spans="1:19" ht="13.5" thickBot="1" x14ac:dyDescent="0.25">
      <c r="A17" s="14" t="s">
        <v>28</v>
      </c>
      <c r="B17" s="10"/>
      <c r="C17" s="10">
        <f>COUNT(C21:C2191)</f>
        <v>3</v>
      </c>
      <c r="E17" s="36" t="s">
        <v>52</v>
      </c>
      <c r="F17" s="40">
        <f ca="1">+$C$15+$C$16*$F$16-15018.5-$C$9/24</f>
        <v>45505.128812811265</v>
      </c>
    </row>
    <row r="18" spans="1:19" ht="14.25" thickTop="1" thickBot="1" x14ac:dyDescent="0.25">
      <c r="A18" s="15" t="s">
        <v>5</v>
      </c>
      <c r="B18" s="10"/>
      <c r="C18" s="17">
        <f ca="1">+C15</f>
        <v>56077.004674956261</v>
      </c>
      <c r="D18" s="18">
        <f ca="1">+C16</f>
        <v>3.0695397338775749</v>
      </c>
      <c r="E18" s="42" t="s">
        <v>53</v>
      </c>
      <c r="F18" s="41">
        <f ca="1">+($C$15+$C$16*$F$16)-($C$16/2)-15018.5-$C$9/24</f>
        <v>45503.594042944329</v>
      </c>
    </row>
    <row r="19" spans="1:19" ht="13.5" thickTop="1" x14ac:dyDescent="0.2">
      <c r="A19" s="22" t="s">
        <v>32</v>
      </c>
      <c r="E19" s="23">
        <v>21</v>
      </c>
      <c r="S19">
        <f ca="1">SQRT(SUM(S21:S50)/(COUNT(S21:S50)-1))</f>
        <v>1.8252661626879912E-3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Malkov</v>
      </c>
      <c r="I20" s="7" t="s">
        <v>47</v>
      </c>
      <c r="J20" s="7" t="s">
        <v>48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4" t="s">
        <v>33</v>
      </c>
    </row>
    <row r="21" spans="1:19" x14ac:dyDescent="0.2">
      <c r="A21" t="s">
        <v>44</v>
      </c>
      <c r="C21" s="8">
        <v>30879.152999999998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-4.4475295372242707E-7</v>
      </c>
      <c r="Q21" s="2">
        <f>+C21-15018.5</f>
        <v>15860.652999999998</v>
      </c>
      <c r="S21">
        <f ca="1">+(O21-G21)^2</f>
        <v>1.9780518984482335E-13</v>
      </c>
    </row>
    <row r="22" spans="1:19" x14ac:dyDescent="0.2">
      <c r="A22" s="30" t="s">
        <v>45</v>
      </c>
      <c r="B22" s="31" t="s">
        <v>46</v>
      </c>
      <c r="C22" s="32">
        <v>56070.863770000004</v>
      </c>
      <c r="D22" s="32">
        <v>4.8000000000000001E-4</v>
      </c>
      <c r="E22">
        <f>+(C22-C$7)/C$8</f>
        <v>8206.971956801488</v>
      </c>
      <c r="F22">
        <f>ROUND(2*E22,0)/2</f>
        <v>8207</v>
      </c>
      <c r="G22">
        <f>+C22-(C$7+F22*C$8)</f>
        <v>-8.6079999993671663E-2</v>
      </c>
      <c r="I22">
        <f>+G22</f>
        <v>-8.6079999993671663E-2</v>
      </c>
      <c r="O22">
        <f ca="1">+C$11+C$12*$F22</f>
        <v>-8.425451149514579E-2</v>
      </c>
      <c r="Q22" s="2">
        <f>+C22-15018.5</f>
        <v>41052.363770000004</v>
      </c>
      <c r="S22">
        <f ca="1">+(O22-G22)^2</f>
        <v>3.332408258250248E-6</v>
      </c>
    </row>
    <row r="23" spans="1:19" x14ac:dyDescent="0.2">
      <c r="A23" s="30" t="s">
        <v>45</v>
      </c>
      <c r="B23" s="31" t="s">
        <v>46</v>
      </c>
      <c r="C23" s="32">
        <v>56077.006500000003</v>
      </c>
      <c r="D23" s="32">
        <v>2.2000000000000001E-3</v>
      </c>
      <c r="E23">
        <f>+(C23-C$7)/C$8</f>
        <v>8208.9731393852526</v>
      </c>
      <c r="F23">
        <f>ROUND(2*E23,0)/2</f>
        <v>8209</v>
      </c>
      <c r="G23">
        <f>+C23-(C$7+F23*C$8)</f>
        <v>-8.2449999994423706E-2</v>
      </c>
      <c r="I23">
        <f>+G23</f>
        <v>-8.2449999994423706E-2</v>
      </c>
      <c r="O23">
        <f ca="1">+C$11+C$12*$F23</f>
        <v>-8.4275043739995864E-2</v>
      </c>
      <c r="Q23" s="2">
        <f>+C23-15018.5</f>
        <v>41058.506500000003</v>
      </c>
      <c r="S23">
        <f ca="1">+(O23-G23)^2</f>
        <v>3.3307846732520517E-6</v>
      </c>
    </row>
    <row r="24" spans="1:19" x14ac:dyDescent="0.2">
      <c r="C24" s="8"/>
      <c r="D24" s="8"/>
      <c r="Q24" s="2"/>
    </row>
    <row r="25" spans="1:19" x14ac:dyDescent="0.2">
      <c r="C25" s="8"/>
      <c r="D25" s="8"/>
      <c r="Q25" s="2"/>
    </row>
    <row r="26" spans="1:19" x14ac:dyDescent="0.2">
      <c r="C26" s="8"/>
      <c r="D26" s="8"/>
      <c r="Q26" s="2"/>
    </row>
    <row r="27" spans="1:19" x14ac:dyDescent="0.2">
      <c r="C27" s="8"/>
      <c r="D27" s="8"/>
      <c r="Q27" s="2"/>
    </row>
    <row r="28" spans="1:19" x14ac:dyDescent="0.2">
      <c r="C28" s="8"/>
      <c r="D28" s="8"/>
      <c r="Q28" s="2"/>
    </row>
    <row r="29" spans="1:19" x14ac:dyDescent="0.2">
      <c r="C29" s="8"/>
      <c r="D29" s="8"/>
      <c r="Q29" s="2"/>
    </row>
    <row r="30" spans="1:19" x14ac:dyDescent="0.2">
      <c r="C30" s="8"/>
      <c r="D30" s="8"/>
      <c r="Q30" s="2"/>
    </row>
    <row r="31" spans="1:19" x14ac:dyDescent="0.2">
      <c r="C31" s="8"/>
      <c r="D31" s="8"/>
      <c r="Q31" s="2"/>
    </row>
    <row r="32" spans="1:19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2024-07-29T07:05:20Z</dcterms:modified>
</cp:coreProperties>
</file>