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4C21377-8C8C-4ED3-93FB-3CB0EB3761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C21" i="1"/>
  <c r="A21" i="1"/>
  <c r="F14" i="1"/>
  <c r="E22" i="1"/>
  <c r="F22" i="1" s="1"/>
  <c r="G22" i="1" s="1"/>
  <c r="H22" i="1" s="1"/>
  <c r="E23" i="1"/>
  <c r="F23" i="1" s="1"/>
  <c r="G23" i="1" s="1"/>
  <c r="H23" i="1" s="1"/>
  <c r="G11" i="1"/>
  <c r="F11" i="1"/>
  <c r="Q22" i="1"/>
  <c r="Q23" i="1"/>
  <c r="C17" i="1"/>
  <c r="C12" i="1"/>
  <c r="C11" i="1"/>
  <c r="O21" i="1" l="1"/>
  <c r="F15" i="1"/>
  <c r="C16" i="1"/>
  <c r="D18" i="1" s="1"/>
  <c r="C15" i="1"/>
  <c r="O23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<sst xmlns="http://schemas.openxmlformats.org/spreadsheetml/2006/main" count="53" uniqueCount="49">
  <si>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</si>
  <si>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</si>
  <si>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</si>
  <si>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</si>
  <si>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</si>
  <si>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</si>
  <si>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</si>
  <si>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</si>
  <si>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</si>
  <si>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</si>
  <si>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</si>
  <si>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</si>
  <si>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</si>
  <si>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</si>
  <si>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</si>
  <si>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</si>
  <si>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</si>
  <si>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</si>
  <si>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</si>
  <si>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</si>
  <si>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</si>
  <si>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</si>
  <si>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</si>
  <si>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</si>
  <si>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</si>
  <si>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</si>
  <si>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</si>
  <si>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</si>
  <si>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</si>
  <si>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</si>
  <si>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</si>
  <si>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</si>
  <si>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</si>
  <si>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</si>
  <si>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</si>
  <si>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V0356 Vel / GSC 8210-2870</t>
  </si>
  <si>
    <t>not avail.</t>
  </si>
  <si>
    <t>EB</t>
  </si>
  <si>
    <t>IBVS 5507</t>
  </si>
  <si>
    <t>I</t>
  </si>
  <si>
    <t>II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</si>
  <si>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</si>
  <si>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</si>
  <si>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</si>
  <si>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</si>
  <si>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</si>
  <si>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</si>
  <si>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</si>
  <si>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6.73-6.87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</si>
</sst>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/>
    <xf numFmtId="0" fontId="0" fillId="2" borderId="6" xfId="0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7" fillId="0" borderId="9" xfId="0" applyFont="1" applyBorder="1" applyAlignment="1"/>
    <xf numFmtId="0" fontId="16" fillId="0" borderId="9" xfId="0" applyFont="1" applyBorder="1" applyAlignment="1"/>
    <xf numFmtId="22" fontId="15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/>
    <xf numFmtId="22" fontId="16" fillId="0" borderId="10" xfId="0" applyNumberFormat="1" applyFont="1" applyBorder="1" applyAlignment="1"/>
    <xf numFmtId="0" fontId="15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V0356 Vel - O-C Diagr.</a:t>
            </a:r>
          </a:p>
        </c:rich>
      </c:tx>
      <c:layout>
        <c:manualLayout>
          <c:xMode val="edge"/>
          <c:yMode val="edge"/>
          <c:x val="0.3789473684210526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35338345864662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1706</c:v>
                </c:pt>
                <c:pt idx="2">
                  <c:v>1706.5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7.9399998066946864E-3</c:v>
                </c:pt>
                <c:pt idx="2">
                  <c:v>7.8850000572856516E-3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02-4F7B-86FB-9307646397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1706</c:v>
                </c:pt>
                <c:pt idx="2">
                  <c:v>1706.5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02-4F7B-86FB-9307646397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1706</c:v>
                </c:pt>
                <c:pt idx="2">
                  <c:v>1706.5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02-4F7B-86FB-9307646397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1706</c:v>
                </c:pt>
                <c:pt idx="2">
                  <c:v>1706.5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02-4F7B-86FB-9307646397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1706</c:v>
                </c:pt>
                <c:pt idx="2">
                  <c:v>1706.5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02-4F7B-86FB-9307646397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1706</c:v>
                </c:pt>
                <c:pt idx="2">
                  <c:v>1706.5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02-4F7B-86FB-9307646397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8.0000000000000004E-4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1706</c:v>
                </c:pt>
                <c:pt idx="2">
                  <c:v>1706.5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02-4F7B-86FB-9307646397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1706</c:v>
                </c:pt>
                <c:pt idx="2">
                  <c:v>1706.5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8.3983043254118317E-9</c:v>
                </c:pt>
                <c:pt idx="1">
                  <c:v>7.9113363940344142E-3</c:v>
                </c:pt>
                <c:pt idx="2">
                  <c:v>7.913655071641601E-3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02-4F7B-86FB-930764639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04864"/>
        <c:axId val="1"/>
      </c:scatterChart>
      <c:valAx>
        <c:axId val="69140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83458646616541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04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15789473684209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EE882F-ACC7-24C3-771B-E48E9BF83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18" sqref="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23</v>
      </c>
      <c r="B2" s="26" t="s">
        <v>37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36</v>
      </c>
      <c r="D4" s="9" t="s">
        <v>36</v>
      </c>
    </row>
    <row r="6" spans="1:7" x14ac:dyDescent="0.2">
      <c r="A6" s="5" t="s">
        <v>1</v>
      </c>
    </row>
    <row r="7" spans="1:7" x14ac:dyDescent="0.2">
      <c r="A7" t="s">
        <v>2</v>
      </c>
      <c r="C7">
        <v>48501.512000000002</v>
      </c>
      <c r="D7" s="29" t="s">
        <v>42</v>
      </c>
    </row>
    <row r="8" spans="1:7" x14ac:dyDescent="0.2">
      <c r="A8" t="s">
        <v>3</v>
      </c>
      <c r="C8">
        <v>1.7679100000000001</v>
      </c>
      <c r="D8" s="29" t="s">
        <v>42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1">
        <f ca="1">INTERCEPT(INDIRECT($G$11):G991,INDIRECT($F$11):F991)</f>
        <v>8.3983043254118317E-9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>
        <f ca="1">SLOPE(INDIRECT($G$11):G991,INDIRECT($F$11):F991)</f>
        <v>4.6373552143787146E-6</v>
      </c>
      <c r="D12" s="3"/>
      <c r="E12" s="30" t="s">
        <v>43</v>
      </c>
      <c r="F12" s="31" t="s">
        <v>48</v>
      </c>
    </row>
    <row r="13" spans="1:7" x14ac:dyDescent="0.2">
      <c r="A13" s="12" t="s">
        <v>18</v>
      </c>
      <c r="B13" s="12"/>
      <c r="C13" s="3" t="s">
        <v>13</v>
      </c>
      <c r="D13" s="3"/>
      <c r="E13" s="32" t="s">
        <v>44</v>
      </c>
      <c r="F13" s="33">
        <v>1</v>
      </c>
    </row>
    <row r="14" spans="1:7" x14ac:dyDescent="0.2">
      <c r="A14" s="12"/>
      <c r="B14" s="12"/>
      <c r="C14" s="12"/>
      <c r="D14" s="12"/>
      <c r="E14" s="32" t="s">
        <v>32</v>
      </c>
      <c r="F14" s="34">
        <f ca="1">NOW()+15018.5+$C$9/24</f>
        <v>60520.83359618055</v>
      </c>
    </row>
    <row r="15" spans="1:7" x14ac:dyDescent="0.2">
      <c r="A15" s="14" t="s">
        <v>17</v>
      </c>
      <c r="B15" s="12"/>
      <c r="C15" s="15">
        <f ca="1">(C7+C11)+(C8+C12)*INT(MAX(F21:F3532))</f>
        <v>51517.574371336392</v>
      </c>
      <c r="D15" s="16"/>
      <c r="E15" s="32" t="s">
        <v>45</v>
      </c>
      <c r="F15" s="34">
        <f ca="1">ROUND(2*($F$14-$C$7)/$C$8,0)/2+$F$13</f>
        <v>6799.5</v>
      </c>
    </row>
    <row r="16" spans="1:7" x14ac:dyDescent="0.2">
      <c r="A16" s="17" t="s">
        <v>4</v>
      </c>
      <c r="B16" s="12"/>
      <c r="C16" s="18">
        <f ca="1">+C8+C12</f>
        <v>1.7679146373552144</v>
      </c>
      <c r="D16" s="16"/>
      <c r="E16" s="32" t="s">
        <v>33</v>
      </c>
      <c r="F16" s="34">
        <f ca="1">ROUND(2*($F$14-$C$15)/$C$16,0)/2+$F$13</f>
        <v>5093.5</v>
      </c>
    </row>
    <row r="17" spans="1:17" ht="13.5" thickBot="1" x14ac:dyDescent="0.25">
      <c r="A17" s="16" t="s">
        <v>29</v>
      </c>
      <c r="B17" s="12"/>
      <c r="C17" s="12">
        <f>COUNT(C21:C2190)</f>
        <v>3</v>
      </c>
      <c r="D17" s="16"/>
      <c r="E17" s="35" t="s">
        <v>46</v>
      </c>
      <c r="F17" s="36">
        <f ca="1">+$C$15+$C$16*$F$16-15018.5-$C$9/24</f>
        <v>45504.343410038513</v>
      </c>
    </row>
    <row r="18" spans="1:17" ht="14.25" thickTop="1" thickBot="1" x14ac:dyDescent="0.25">
      <c r="A18" s="17" t="s">
        <v>5</v>
      </c>
      <c r="B18" s="12"/>
      <c r="C18" s="19">
        <f ca="1">+C15</f>
        <v>51517.574371336392</v>
      </c>
      <c r="D18" s="20">
        <f ca="1">+C16</f>
        <v>1.7679146373552144</v>
      </c>
      <c r="E18" s="38" t="s">
        <v>47</v>
      </c>
      <c r="F18" s="37">
        <f ca="1">+($C$15+$C$16*$F$16)-($C$16/2)-15018.5-$C$9/24</f>
        <v>45503.459452719835</v>
      </c>
    </row>
    <row r="19" spans="1:17" ht="13.5" thickTop="1" x14ac:dyDescent="0.2">
      <c r="A19" s="24" t="s">
        <v>34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42</v>
      </c>
      <c r="J20" s="7" t="s">
        <v>41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t="str">
        <f>$D$7</f>
        <v>VSX</v>
      </c>
      <c r="C21" s="10">
        <f>$C$7</f>
        <v>48501.512000000002</v>
      </c>
      <c r="D21" s="10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8.3983043254118317E-9</v>
      </c>
      <c r="Q21" s="2">
        <f>+C21-15018.5</f>
        <v>33483.012000000002</v>
      </c>
    </row>
    <row r="22" spans="1:17" x14ac:dyDescent="0.2">
      <c r="A22" s="28" t="s">
        <v>38</v>
      </c>
      <c r="B22" s="27" t="s">
        <v>39</v>
      </c>
      <c r="C22" s="28">
        <v>51517.574399999809</v>
      </c>
      <c r="D22" s="28">
        <v>8.0000000000000004E-4</v>
      </c>
      <c r="E22">
        <f>+(C22-C$7)/C$8</f>
        <v>1706.0044911787397</v>
      </c>
      <c r="F22">
        <f>ROUND(2*E22,0)/2</f>
        <v>1706</v>
      </c>
      <c r="G22">
        <f>+C22-(C$7+F22*C$8)</f>
        <v>7.9399998066946864E-3</v>
      </c>
      <c r="H22">
        <f>+G22</f>
        <v>7.9399998066946864E-3</v>
      </c>
      <c r="O22">
        <f ca="1">+C$11+C$12*$F22</f>
        <v>7.9113363940344142E-3</v>
      </c>
      <c r="Q22" s="2">
        <f>+C22-15018.5</f>
        <v>36499.074399999809</v>
      </c>
    </row>
    <row r="23" spans="1:17" x14ac:dyDescent="0.2">
      <c r="A23" s="28" t="s">
        <v>38</v>
      </c>
      <c r="B23" s="27" t="s">
        <v>40</v>
      </c>
      <c r="C23" s="28">
        <v>51518.458300000057</v>
      </c>
      <c r="D23" s="28">
        <v>1.1999999999999999E-3</v>
      </c>
      <c r="E23">
        <f>+(C23-C$7)/C$8</f>
        <v>1706.5044600686992</v>
      </c>
      <c r="F23">
        <f>ROUND(2*E23,0)/2</f>
        <v>1706.5</v>
      </c>
      <c r="G23">
        <f>+C23-(C$7+F23*C$8)</f>
        <v>7.8850000572856516E-3</v>
      </c>
      <c r="H23">
        <f>+G23</f>
        <v>7.8850000572856516E-3</v>
      </c>
      <c r="O23">
        <f ca="1">+C$11+C$12*$F23</f>
        <v>7.913655071641601E-3</v>
      </c>
      <c r="Q23" s="2">
        <f>+C23-15018.5</f>
        <v>36499.958300000057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R25">
    <sortCondition ref="C21:C2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2024-07-29T08:00:22Z</dcterms:modified>
</cp:coreProperties>
</file>