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49F24239-A6F5-44BB-B27D-6B593A40728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67" i="1" l="1"/>
  <c r="F67" i="1" s="1"/>
  <c r="G67" i="1" s="1"/>
  <c r="K67" i="1" s="1"/>
  <c r="Q67" i="1"/>
  <c r="E66" i="1"/>
  <c r="F66" i="1"/>
  <c r="G66" i="1"/>
  <c r="K66" i="1"/>
  <c r="Q66" i="1"/>
  <c r="C7" i="1"/>
  <c r="E22" i="1"/>
  <c r="F22" i="1"/>
  <c r="G22" i="1"/>
  <c r="H22" i="1"/>
  <c r="C8" i="1"/>
  <c r="C9" i="1"/>
  <c r="D9" i="1"/>
  <c r="F16" i="1"/>
  <c r="C17" i="1"/>
  <c r="E21" i="1"/>
  <c r="F21" i="1"/>
  <c r="G21" i="1"/>
  <c r="H21" i="1"/>
  <c r="Q21" i="1"/>
  <c r="Q22" i="1"/>
  <c r="E23" i="1"/>
  <c r="F23" i="1"/>
  <c r="Q23" i="1"/>
  <c r="E24" i="1"/>
  <c r="F24" i="1"/>
  <c r="G24" i="1"/>
  <c r="H24" i="1"/>
  <c r="Q24" i="1"/>
  <c r="E25" i="1"/>
  <c r="F25" i="1"/>
  <c r="G25" i="1"/>
  <c r="H25" i="1"/>
  <c r="Q25" i="1"/>
  <c r="Q26" i="1"/>
  <c r="E27" i="1"/>
  <c r="F27" i="1"/>
  <c r="Q27" i="1"/>
  <c r="E28" i="1"/>
  <c r="F28" i="1"/>
  <c r="G28" i="1"/>
  <c r="H28" i="1"/>
  <c r="Q28" i="1"/>
  <c r="E29" i="1"/>
  <c r="F29" i="1"/>
  <c r="G29" i="1"/>
  <c r="H29" i="1"/>
  <c r="Q29" i="1"/>
  <c r="Q30" i="1"/>
  <c r="E31" i="1"/>
  <c r="F31" i="1"/>
  <c r="Q31" i="1"/>
  <c r="E32" i="1"/>
  <c r="F32" i="1"/>
  <c r="G32" i="1"/>
  <c r="H32" i="1"/>
  <c r="Q32" i="1"/>
  <c r="E33" i="1"/>
  <c r="F33" i="1"/>
  <c r="G33" i="1"/>
  <c r="H33" i="1"/>
  <c r="Q33" i="1"/>
  <c r="Q34" i="1"/>
  <c r="E35" i="1"/>
  <c r="F35" i="1"/>
  <c r="Q35" i="1"/>
  <c r="E36" i="1"/>
  <c r="F36" i="1"/>
  <c r="G36" i="1"/>
  <c r="H36" i="1"/>
  <c r="Q36" i="1"/>
  <c r="E37" i="1"/>
  <c r="F37" i="1"/>
  <c r="G37" i="1"/>
  <c r="H37" i="1"/>
  <c r="Q37" i="1"/>
  <c r="E38" i="1"/>
  <c r="F38" i="1"/>
  <c r="G38" i="1"/>
  <c r="H38" i="1"/>
  <c r="Q38" i="1"/>
  <c r="E39" i="1"/>
  <c r="F39" i="1"/>
  <c r="G39" i="1"/>
  <c r="H39" i="1"/>
  <c r="Q39" i="1"/>
  <c r="E40" i="1"/>
  <c r="F40" i="1"/>
  <c r="G40" i="1"/>
  <c r="H40" i="1"/>
  <c r="Q40" i="1"/>
  <c r="E41" i="1"/>
  <c r="F41" i="1"/>
  <c r="G41" i="1"/>
  <c r="H41" i="1"/>
  <c r="Q41" i="1"/>
  <c r="E42" i="1"/>
  <c r="F42" i="1"/>
  <c r="G42" i="1"/>
  <c r="J42" i="1"/>
  <c r="Q42" i="1"/>
  <c r="E43" i="1"/>
  <c r="F43" i="1"/>
  <c r="G43" i="1"/>
  <c r="I43" i="1"/>
  <c r="Q43" i="1"/>
  <c r="E44" i="1"/>
  <c r="F44" i="1"/>
  <c r="G44" i="1"/>
  <c r="I44" i="1"/>
  <c r="Q44" i="1"/>
  <c r="E45" i="1"/>
  <c r="F45" i="1"/>
  <c r="G45" i="1"/>
  <c r="I45" i="1"/>
  <c r="Q45" i="1"/>
  <c r="E46" i="1"/>
  <c r="F46" i="1"/>
  <c r="G46" i="1"/>
  <c r="I46" i="1"/>
  <c r="Q46" i="1"/>
  <c r="E47" i="1"/>
  <c r="F47" i="1"/>
  <c r="G47" i="1"/>
  <c r="K47" i="1"/>
  <c r="Q47" i="1"/>
  <c r="E48" i="1"/>
  <c r="F48" i="1"/>
  <c r="G48" i="1"/>
  <c r="K48" i="1"/>
  <c r="Q48" i="1"/>
  <c r="E49" i="1"/>
  <c r="F49" i="1"/>
  <c r="G49" i="1"/>
  <c r="K49" i="1"/>
  <c r="Q49" i="1"/>
  <c r="E50" i="1"/>
  <c r="F50" i="1"/>
  <c r="G50" i="1"/>
  <c r="K50" i="1"/>
  <c r="Q50" i="1"/>
  <c r="E51" i="1"/>
  <c r="F51" i="1"/>
  <c r="G51" i="1"/>
  <c r="I51" i="1"/>
  <c r="Q51" i="1"/>
  <c r="E52" i="1"/>
  <c r="F52" i="1"/>
  <c r="G52" i="1"/>
  <c r="I52" i="1"/>
  <c r="Q52" i="1"/>
  <c r="E53" i="1"/>
  <c r="F53" i="1"/>
  <c r="G53" i="1"/>
  <c r="I53" i="1"/>
  <c r="Q53" i="1"/>
  <c r="E54" i="1"/>
  <c r="F54" i="1"/>
  <c r="G54" i="1"/>
  <c r="K54" i="1"/>
  <c r="Q54" i="1"/>
  <c r="E55" i="1"/>
  <c r="F55" i="1"/>
  <c r="G55" i="1"/>
  <c r="K55" i="1"/>
  <c r="Q55" i="1"/>
  <c r="E56" i="1"/>
  <c r="F56" i="1"/>
  <c r="G56" i="1"/>
  <c r="K56" i="1"/>
  <c r="Q56" i="1"/>
  <c r="E57" i="1"/>
  <c r="F57" i="1"/>
  <c r="G57" i="1"/>
  <c r="K57" i="1"/>
  <c r="Q57" i="1"/>
  <c r="E58" i="1"/>
  <c r="F58" i="1"/>
  <c r="G58" i="1"/>
  <c r="K58" i="1"/>
  <c r="Q58" i="1"/>
  <c r="E59" i="1"/>
  <c r="F59" i="1"/>
  <c r="G59" i="1"/>
  <c r="K59" i="1"/>
  <c r="Q59" i="1"/>
  <c r="E60" i="1"/>
  <c r="F60" i="1"/>
  <c r="G60" i="1"/>
  <c r="K60" i="1"/>
  <c r="Q60" i="1"/>
  <c r="E61" i="1"/>
  <c r="F61" i="1"/>
  <c r="G61" i="1"/>
  <c r="K61" i="1"/>
  <c r="Q61" i="1"/>
  <c r="E62" i="1"/>
  <c r="F62" i="1"/>
  <c r="G62" i="1"/>
  <c r="K62" i="1"/>
  <c r="Q62" i="1"/>
  <c r="E63" i="1"/>
  <c r="F63" i="1"/>
  <c r="G63" i="1"/>
  <c r="K63" i="1"/>
  <c r="Q63" i="1"/>
  <c r="E64" i="1"/>
  <c r="F64" i="1"/>
  <c r="G64" i="1"/>
  <c r="K64" i="1"/>
  <c r="Q64" i="1"/>
  <c r="E65" i="1"/>
  <c r="F65" i="1"/>
  <c r="G65" i="1"/>
  <c r="K65" i="1"/>
  <c r="Q65" i="1"/>
  <c r="A11" i="2"/>
  <c r="B11" i="2"/>
  <c r="D11" i="2"/>
  <c r="G11" i="2"/>
  <c r="C11" i="2"/>
  <c r="E11" i="2"/>
  <c r="H11" i="2"/>
  <c r="A12" i="2"/>
  <c r="C12" i="2"/>
  <c r="E12" i="2"/>
  <c r="D12" i="2"/>
  <c r="G12" i="2"/>
  <c r="H12" i="2"/>
  <c r="B12" i="2"/>
  <c r="A13" i="2"/>
  <c r="D13" i="2"/>
  <c r="G13" i="2"/>
  <c r="C13" i="2"/>
  <c r="E13" i="2"/>
  <c r="H13" i="2"/>
  <c r="B13" i="2"/>
  <c r="A14" i="2"/>
  <c r="D14" i="2"/>
  <c r="G14" i="2"/>
  <c r="C14" i="2"/>
  <c r="E14" i="2"/>
  <c r="H14" i="2"/>
  <c r="B14" i="2"/>
  <c r="A15" i="2"/>
  <c r="D15" i="2"/>
  <c r="G15" i="2"/>
  <c r="C15" i="2"/>
  <c r="E15" i="2"/>
  <c r="H15" i="2"/>
  <c r="B15" i="2"/>
  <c r="A16" i="2"/>
  <c r="D16" i="2"/>
  <c r="G16" i="2"/>
  <c r="C16" i="2"/>
  <c r="E16" i="2"/>
  <c r="H16" i="2"/>
  <c r="B16" i="2"/>
  <c r="A17" i="2"/>
  <c r="B17" i="2"/>
  <c r="D17" i="2"/>
  <c r="G17" i="2"/>
  <c r="C17" i="2"/>
  <c r="E17" i="2"/>
  <c r="H17" i="2"/>
  <c r="A18" i="2"/>
  <c r="B18" i="2"/>
  <c r="C18" i="2"/>
  <c r="E18" i="2"/>
  <c r="D18" i="2"/>
  <c r="G18" i="2"/>
  <c r="H18" i="2"/>
  <c r="A19" i="2"/>
  <c r="B19" i="2"/>
  <c r="C19" i="2"/>
  <c r="E19" i="2"/>
  <c r="D19" i="2"/>
  <c r="G19" i="2"/>
  <c r="H19" i="2"/>
  <c r="A20" i="2"/>
  <c r="B20" i="2"/>
  <c r="C20" i="2"/>
  <c r="E20" i="2"/>
  <c r="D20" i="2"/>
  <c r="G20" i="2"/>
  <c r="H20" i="2"/>
  <c r="A21" i="2"/>
  <c r="D21" i="2"/>
  <c r="G21" i="2"/>
  <c r="C21" i="2"/>
  <c r="E21" i="2"/>
  <c r="H21" i="2"/>
  <c r="B21" i="2"/>
  <c r="A22" i="2"/>
  <c r="D22" i="2"/>
  <c r="G22" i="2"/>
  <c r="C22" i="2"/>
  <c r="E22" i="2"/>
  <c r="H22" i="2"/>
  <c r="B22" i="2"/>
  <c r="A23" i="2"/>
  <c r="D23" i="2"/>
  <c r="G23" i="2"/>
  <c r="C23" i="2"/>
  <c r="E23" i="2"/>
  <c r="H23" i="2"/>
  <c r="B23" i="2"/>
  <c r="A24" i="2"/>
  <c r="D24" i="2"/>
  <c r="G24" i="2"/>
  <c r="C24" i="2"/>
  <c r="E24" i="2"/>
  <c r="H24" i="2"/>
  <c r="B24" i="2"/>
  <c r="A25" i="2"/>
  <c r="B25" i="2"/>
  <c r="D25" i="2"/>
  <c r="G25" i="2"/>
  <c r="C25" i="2"/>
  <c r="E25" i="2"/>
  <c r="H25" i="2"/>
  <c r="A26" i="2"/>
  <c r="B26" i="2"/>
  <c r="C26" i="2"/>
  <c r="E26" i="2"/>
  <c r="D26" i="2"/>
  <c r="G26" i="2"/>
  <c r="H26" i="2"/>
  <c r="A27" i="2"/>
  <c r="B27" i="2"/>
  <c r="C27" i="2"/>
  <c r="E27" i="2"/>
  <c r="D27" i="2"/>
  <c r="G27" i="2"/>
  <c r="H27" i="2"/>
  <c r="A28" i="2"/>
  <c r="B28" i="2"/>
  <c r="C28" i="2"/>
  <c r="D28" i="2"/>
  <c r="G28" i="2"/>
  <c r="H28" i="2"/>
  <c r="A29" i="2"/>
  <c r="D29" i="2"/>
  <c r="G29" i="2"/>
  <c r="C29" i="2"/>
  <c r="E29" i="2"/>
  <c r="H29" i="2"/>
  <c r="B29" i="2"/>
  <c r="A30" i="2"/>
  <c r="D30" i="2"/>
  <c r="G30" i="2"/>
  <c r="C30" i="2"/>
  <c r="E30" i="2"/>
  <c r="H30" i="2"/>
  <c r="B30" i="2"/>
  <c r="A31" i="2"/>
  <c r="D31" i="2"/>
  <c r="G31" i="2"/>
  <c r="C31" i="2"/>
  <c r="E31" i="2"/>
  <c r="H31" i="2"/>
  <c r="B31" i="2"/>
  <c r="A32" i="2"/>
  <c r="D32" i="2"/>
  <c r="G32" i="2"/>
  <c r="C32" i="2"/>
  <c r="H32" i="2"/>
  <c r="B32" i="2"/>
  <c r="A33" i="2"/>
  <c r="B33" i="2"/>
  <c r="D33" i="2"/>
  <c r="G33" i="2"/>
  <c r="C33" i="2"/>
  <c r="E33" i="2"/>
  <c r="H33" i="2"/>
  <c r="A34" i="2"/>
  <c r="B34" i="2"/>
  <c r="C34" i="2"/>
  <c r="E34" i="2"/>
  <c r="D34" i="2"/>
  <c r="G34" i="2"/>
  <c r="H34" i="2"/>
  <c r="A35" i="2"/>
  <c r="B35" i="2"/>
  <c r="C35" i="2"/>
  <c r="D35" i="2"/>
  <c r="G35" i="2"/>
  <c r="H35" i="2"/>
  <c r="A36" i="2"/>
  <c r="B36" i="2"/>
  <c r="C36" i="2"/>
  <c r="E36" i="2"/>
  <c r="D36" i="2"/>
  <c r="G36" i="2"/>
  <c r="H36" i="2"/>
  <c r="A37" i="2"/>
  <c r="D37" i="2"/>
  <c r="G37" i="2"/>
  <c r="C37" i="2"/>
  <c r="E37" i="2"/>
  <c r="H37" i="2"/>
  <c r="B37" i="2"/>
  <c r="A38" i="2"/>
  <c r="D38" i="2"/>
  <c r="G38" i="2"/>
  <c r="C38" i="2"/>
  <c r="E38" i="2"/>
  <c r="H38" i="2"/>
  <c r="B38" i="2"/>
  <c r="A39" i="2"/>
  <c r="D39" i="2"/>
  <c r="G39" i="2"/>
  <c r="C39" i="2"/>
  <c r="E39" i="2"/>
  <c r="H39" i="2"/>
  <c r="B39" i="2"/>
  <c r="A40" i="2"/>
  <c r="D40" i="2"/>
  <c r="G40" i="2"/>
  <c r="C40" i="2"/>
  <c r="E40" i="2"/>
  <c r="H40" i="2"/>
  <c r="B40" i="2"/>
  <c r="A41" i="2"/>
  <c r="B41" i="2"/>
  <c r="D41" i="2"/>
  <c r="G41" i="2"/>
  <c r="C41" i="2"/>
  <c r="E41" i="2"/>
  <c r="H41" i="2"/>
  <c r="A42" i="2"/>
  <c r="B42" i="2"/>
  <c r="C42" i="2"/>
  <c r="E42" i="2"/>
  <c r="D42" i="2"/>
  <c r="G42" i="2"/>
  <c r="H42" i="2"/>
  <c r="A43" i="2"/>
  <c r="B43" i="2"/>
  <c r="C43" i="2"/>
  <c r="E43" i="2"/>
  <c r="D43" i="2"/>
  <c r="G43" i="2"/>
  <c r="H43" i="2"/>
  <c r="A44" i="2"/>
  <c r="B44" i="2"/>
  <c r="C44" i="2"/>
  <c r="E44" i="2"/>
  <c r="D44" i="2"/>
  <c r="G44" i="2"/>
  <c r="H44" i="2"/>
  <c r="A45" i="2"/>
  <c r="D45" i="2"/>
  <c r="G45" i="2"/>
  <c r="C45" i="2"/>
  <c r="E45" i="2"/>
  <c r="H45" i="2"/>
  <c r="B45" i="2"/>
  <c r="A46" i="2"/>
  <c r="D46" i="2"/>
  <c r="G46" i="2"/>
  <c r="C46" i="2"/>
  <c r="E46" i="2"/>
  <c r="H46" i="2"/>
  <c r="B46" i="2"/>
  <c r="A47" i="2"/>
  <c r="D47" i="2"/>
  <c r="G47" i="2"/>
  <c r="C47" i="2"/>
  <c r="E47" i="2"/>
  <c r="H47" i="2"/>
  <c r="B47" i="2"/>
  <c r="A48" i="2"/>
  <c r="D48" i="2"/>
  <c r="G48" i="2"/>
  <c r="C48" i="2"/>
  <c r="E48" i="2"/>
  <c r="H48" i="2"/>
  <c r="B48" i="2"/>
  <c r="A49" i="2"/>
  <c r="B49" i="2"/>
  <c r="D49" i="2"/>
  <c r="G49" i="2"/>
  <c r="C49" i="2"/>
  <c r="E49" i="2"/>
  <c r="H49" i="2"/>
  <c r="G35" i="1"/>
  <c r="H35" i="1"/>
  <c r="E34" i="1"/>
  <c r="F34" i="1"/>
  <c r="G34" i="1"/>
  <c r="H34" i="1"/>
  <c r="G31" i="1"/>
  <c r="H31" i="1"/>
  <c r="E30" i="1"/>
  <c r="F30" i="1"/>
  <c r="G30" i="1"/>
  <c r="H30" i="1"/>
  <c r="G27" i="1"/>
  <c r="H27" i="1"/>
  <c r="E26" i="1"/>
  <c r="F26" i="1"/>
  <c r="G26" i="1"/>
  <c r="H26" i="1"/>
  <c r="G23" i="1"/>
  <c r="E28" i="2"/>
  <c r="H23" i="1"/>
  <c r="E35" i="2"/>
  <c r="E32" i="2"/>
  <c r="C12" i="1"/>
  <c r="C11" i="1"/>
  <c r="O67" i="1" l="1"/>
  <c r="C16" i="1"/>
  <c r="D18" i="1" s="1"/>
  <c r="O40" i="1"/>
  <c r="C15" i="1"/>
  <c r="O53" i="1"/>
  <c r="O29" i="1"/>
  <c r="O24" i="1"/>
  <c r="O43" i="1"/>
  <c r="O62" i="1"/>
  <c r="O28" i="1"/>
  <c r="O26" i="1"/>
  <c r="O23" i="1"/>
  <c r="O38" i="1"/>
  <c r="O61" i="1"/>
  <c r="O56" i="1"/>
  <c r="O27" i="1"/>
  <c r="O49" i="1"/>
  <c r="O58" i="1"/>
  <c r="O46" i="1"/>
  <c r="O51" i="1"/>
  <c r="O25" i="1"/>
  <c r="O48" i="1"/>
  <c r="O39" i="1"/>
  <c r="O59" i="1"/>
  <c r="O33" i="1"/>
  <c r="O60" i="1"/>
  <c r="O45" i="1"/>
  <c r="O52" i="1"/>
  <c r="O21" i="1"/>
  <c r="O57" i="1"/>
  <c r="O31" i="1"/>
  <c r="O22" i="1"/>
  <c r="O66" i="1"/>
  <c r="O32" i="1"/>
  <c r="O30" i="1"/>
  <c r="O55" i="1"/>
  <c r="O44" i="1"/>
  <c r="O63" i="1"/>
  <c r="O41" i="1"/>
  <c r="O64" i="1"/>
  <c r="O65" i="1"/>
  <c r="O47" i="1"/>
  <c r="O50" i="1"/>
  <c r="O34" i="1"/>
  <c r="O36" i="1"/>
  <c r="O35" i="1"/>
  <c r="O42" i="1"/>
  <c r="O37" i="1"/>
  <c r="O54" i="1"/>
  <c r="F17" i="1"/>
  <c r="C18" i="1" l="1"/>
  <c r="F18" i="1"/>
  <c r="F19" i="1" s="1"/>
</calcChain>
</file>

<file path=xl/sharedStrings.xml><?xml version="1.0" encoding="utf-8"?>
<sst xmlns="http://schemas.openxmlformats.org/spreadsheetml/2006/main" count="435" uniqueCount="210">
  <si>
    <t>DL Vir / GSC 06140-00715</t>
  </si>
  <si>
    <t>System Type:</t>
  </si>
  <si>
    <t>EA</t>
  </si>
  <si>
    <t>GCVS 4 Eph.</t>
  </si>
  <si>
    <t>My time zone &gt;&gt;&gt;&gt;&gt;</t>
  </si>
  <si>
    <t>(PST=8, PDT=MDT=7, MDT=CST=6, etc.)</t>
  </si>
  <si>
    <t>--- Working ----</t>
  </si>
  <si>
    <t>Epoch =</t>
  </si>
  <si>
    <t>Period =</t>
  </si>
  <si>
    <t>Start of linear fit &gt;&gt;&gt;&gt;&gt;&gt;&gt;&gt;&gt;&gt;&gt;&gt;&gt;&gt;&gt;&gt;&gt;&gt;&gt;&gt;&gt;</t>
  </si>
  <si>
    <t>Linear</t>
  </si>
  <si>
    <t>Quadratic</t>
  </si>
  <si>
    <t>LS Intercept =</t>
  </si>
  <si>
    <t>LS Slope =</t>
  </si>
  <si>
    <t>LS Quadr term =</t>
  </si>
  <si>
    <t>na</t>
  </si>
  <si>
    <t>New epoch =</t>
  </si>
  <si>
    <t>Add cycle</t>
  </si>
  <si>
    <t>New Period =</t>
  </si>
  <si>
    <t>JD today</t>
  </si>
  <si>
    <t># of data points:</t>
  </si>
  <si>
    <t>Old Cycle</t>
  </si>
  <si>
    <t>New Ephemeris =</t>
  </si>
  <si>
    <t>New Cycle</t>
  </si>
  <si>
    <t>Next ToM</t>
  </si>
  <si>
    <t>Source</t>
  </si>
  <si>
    <t>Typ</t>
  </si>
  <si>
    <t>ToM</t>
  </si>
  <si>
    <t>error</t>
  </si>
  <si>
    <t>n'</t>
  </si>
  <si>
    <t>n</t>
  </si>
  <si>
    <t>O-C</t>
  </si>
  <si>
    <t>pg</t>
  </si>
  <si>
    <t>vis</t>
  </si>
  <si>
    <t>PE</t>
  </si>
  <si>
    <t>CCD</t>
  </si>
  <si>
    <t>VSS</t>
  </si>
  <si>
    <t>S5</t>
  </si>
  <si>
    <t>Misc</t>
  </si>
  <si>
    <t>Lin Fit</t>
  </si>
  <si>
    <t>Q. Fit</t>
  </si>
  <si>
    <t>Date</t>
  </si>
  <si>
    <t> PZ 17.86 </t>
  </si>
  <si>
    <t>I</t>
  </si>
  <si>
    <t>GCVS 4</t>
  </si>
  <si>
    <t> AAP 61.107 </t>
  </si>
  <si>
    <t>BBSAG Bull.44</t>
  </si>
  <si>
    <t>Ralincourt P</t>
  </si>
  <si>
    <t>B</t>
  </si>
  <si>
    <t>Cook 1997</t>
  </si>
  <si>
    <t> JAVSO 26.14 </t>
  </si>
  <si>
    <t>2013JAVSO..41..122</t>
  </si>
  <si>
    <t>IBVS 5694 </t>
  </si>
  <si>
    <t>IBVS 5694</t>
  </si>
  <si>
    <t>IBVS 5690</t>
  </si>
  <si>
    <t>VSB 46 </t>
  </si>
  <si>
    <t>VSB 48 </t>
  </si>
  <si>
    <t>IBVS 6007</t>
  </si>
  <si>
    <t>IBVS 6114</t>
  </si>
  <si>
    <t>VSS_2013-01-28</t>
  </si>
  <si>
    <t>OEJV 0181</t>
  </si>
  <si>
    <t>JAVSO..46..184</t>
  </si>
  <si>
    <t>Minima from the Lichtenknecker Database of the BAV</t>
  </si>
  <si>
    <t>C</t>
  </si>
  <si>
    <t>E</t>
  </si>
  <si>
    <t>http://www.bav-astro.de/LkDB/index.php?lang=en&amp;sprache_dial=en</t>
  </si>
  <si>
    <t>F</t>
  </si>
  <si>
    <t>P</t>
  </si>
  <si>
    <t>V</t>
  </si>
  <si>
    <t>2444016.421 </t>
  </si>
  <si>
    <t> 22.05.1979 22:06 </t>
  </si>
  <si>
    <t> 0.071 </t>
  </si>
  <si>
    <t>V </t>
  </si>
  <si>
    <t> P.Ralincourt </t>
  </si>
  <si>
    <t> BBS 44 </t>
  </si>
  <si>
    <t>2450192.641 </t>
  </si>
  <si>
    <t> 19.04.1996 03:23 </t>
  </si>
  <si>
    <t> 0.113 </t>
  </si>
  <si>
    <t> S.Cook </t>
  </si>
  <si>
    <t> JAAVSO 41;122 </t>
  </si>
  <si>
    <t>2453499.7582 </t>
  </si>
  <si>
    <t> 09.05.2005 06:11 </t>
  </si>
  <si>
    <t> 0.1132 </t>
  </si>
  <si>
    <t>E </t>
  </si>
  <si>
    <t>?</t>
  </si>
  <si>
    <t> T.Krajci </t>
  </si>
  <si>
    <t>IBVS 5690 </t>
  </si>
  <si>
    <t>2455258.57347 </t>
  </si>
  <si>
    <t> 03.03.2010 01:45 </t>
  </si>
  <si>
    <t> 0.13175 </t>
  </si>
  <si>
    <t>C </t>
  </si>
  <si>
    <t>R</t>
  </si>
  <si>
    <t> R.Uhlar </t>
  </si>
  <si>
    <t>IBVS 6007 </t>
  </si>
  <si>
    <t>2455308.55507 </t>
  </si>
  <si>
    <t> 22.04.2010 01:19 </t>
  </si>
  <si>
    <t> 0.12511 </t>
  </si>
  <si>
    <t>2455600.59191 </t>
  </si>
  <si>
    <t> 08.02.2011 02:12 </t>
  </si>
  <si>
    <t> 0.12539 </t>
  </si>
  <si>
    <t>2455621.63187 </t>
  </si>
  <si>
    <t> 01.03.2011 03:09 </t>
  </si>
  <si>
    <t> 0.11767 </t>
  </si>
  <si>
    <t>o</t>
  </si>
  <si>
    <t>2455650.57650 </t>
  </si>
  <si>
    <t> 30.03.2011 01:50 </t>
  </si>
  <si>
    <t> 0.12174 </t>
  </si>
  <si>
    <t>2455992.60284 </t>
  </si>
  <si>
    <t> 06.03.2012 02:28 </t>
  </si>
  <si>
    <t> 0.12328 </t>
  </si>
  <si>
    <t>IBVS 6114 </t>
  </si>
  <si>
    <t>2456367.5175 </t>
  </si>
  <si>
    <t> 16.03.2013 00:25 </t>
  </si>
  <si>
    <t> 0.1261 </t>
  </si>
  <si>
    <t>2456421.4519 </t>
  </si>
  <si>
    <t> 08.05.2013 22:50 </t>
  </si>
  <si>
    <t> 0.1259 </t>
  </si>
  <si>
    <t>2456425.39663 </t>
  </si>
  <si>
    <t> 12.05.2013 21:31 </t>
  </si>
  <si>
    <t> 0.12415 </t>
  </si>
  <si>
    <t>2429805.223 </t>
  </si>
  <si>
    <t> 24.06.1940 17:21 </t>
  </si>
  <si>
    <t> 0.004 </t>
  </si>
  <si>
    <t>P </t>
  </si>
  <si>
    <t> Erleksova&amp;Vagina </t>
  </si>
  <si>
    <t>2430089.342 </t>
  </si>
  <si>
    <t> 04.04.1941 20:12 </t>
  </si>
  <si>
    <t> -0.021 </t>
  </si>
  <si>
    <t>2431252.201 </t>
  </si>
  <si>
    <t> 10.06.1944 16:49 </t>
  </si>
  <si>
    <t> -0.046 </t>
  </si>
  <si>
    <t>2432678.208 </t>
  </si>
  <si>
    <t> 06.05.1948 16:59 </t>
  </si>
  <si>
    <t> -0.020 </t>
  </si>
  <si>
    <t>2433358.331 </t>
  </si>
  <si>
    <t> 17.03.1950 19:56 </t>
  </si>
  <si>
    <t> 0.000 </t>
  </si>
  <si>
    <t>2433746.361 </t>
  </si>
  <si>
    <t> 09.04.1951 20:39 </t>
  </si>
  <si>
    <t> -0.036 </t>
  </si>
  <si>
    <t>2434542.216 </t>
  </si>
  <si>
    <t> 13.06.1953 17:11 </t>
  </si>
  <si>
    <t> -0.047 </t>
  </si>
  <si>
    <t>2435251.250 </t>
  </si>
  <si>
    <t> 23.05.1955 18:00 </t>
  </si>
  <si>
    <t> -0.056 </t>
  </si>
  <si>
    <t>2435601.231 </t>
  </si>
  <si>
    <t> 07.05.1956 17:32 </t>
  </si>
  <si>
    <t> 0.007 </t>
  </si>
  <si>
    <t>2436335.256 </t>
  </si>
  <si>
    <t> 11.05.1958 18:08 </t>
  </si>
  <si>
    <t> -0.006 </t>
  </si>
  <si>
    <t>2436364.226 </t>
  </si>
  <si>
    <t> 09.06.1958 17:25 </t>
  </si>
  <si>
    <t> 0.024 </t>
  </si>
  <si>
    <t>2438796.542 </t>
  </si>
  <si>
    <t> 05.02.1965 01:00 </t>
  </si>
  <si>
    <t> 0.017 </t>
  </si>
  <si>
    <t>2438829.441 </t>
  </si>
  <si>
    <t> 09.03.1965 22:35 </t>
  </si>
  <si>
    <t> 0.029 </t>
  </si>
  <si>
    <t>2438858.410 </t>
  </si>
  <si>
    <t> 07.04.1965 21:50 </t>
  </si>
  <si>
    <t> 0.057 </t>
  </si>
  <si>
    <t>2438879.362 </t>
  </si>
  <si>
    <t> 28.04.1965 20:41 </t>
  </si>
  <si>
    <t> -0.038 </t>
  </si>
  <si>
    <t>2438883.356 </t>
  </si>
  <si>
    <t> 02.05.1965 20:32 </t>
  </si>
  <si>
    <t> 0.009 </t>
  </si>
  <si>
    <t>2438912.283 </t>
  </si>
  <si>
    <t> 31.05.1965 18:47 </t>
  </si>
  <si>
    <t> -0.004 </t>
  </si>
  <si>
    <t>2438937.272 </t>
  </si>
  <si>
    <t> 25.06.1965 18:31 </t>
  </si>
  <si>
    <t> -0.009 </t>
  </si>
  <si>
    <t>2438941.219 </t>
  </si>
  <si>
    <t> 29.06.1965 17:15 </t>
  </si>
  <si>
    <t>2438966.192 </t>
  </si>
  <si>
    <t> 24.07.1965 16:36 </t>
  </si>
  <si>
    <t> -0.030 </t>
  </si>
  <si>
    <t>2442191.7959 </t>
  </si>
  <si>
    <t> 24.05.1974 07:06 </t>
  </si>
  <si>
    <t> 0.0170 </t>
  </si>
  <si>
    <t> E.Schöffel </t>
  </si>
  <si>
    <t>2450184.753 </t>
  </si>
  <si>
    <t> 11.04.1996 06:04 </t>
  </si>
  <si>
    <t> 0.118 </t>
  </si>
  <si>
    <t> S.P.Cook </t>
  </si>
  <si>
    <t>2452726.2719 </t>
  </si>
  <si>
    <t> 27.03.2003 18:31 </t>
  </si>
  <si>
    <t> 0.1292 </t>
  </si>
  <si>
    <t> C.-H.Kim et al. </t>
  </si>
  <si>
    <t>2454144.3494 </t>
  </si>
  <si>
    <t> 12.02.2007 20:23 </t>
  </si>
  <si>
    <t> 0.1192 </t>
  </si>
  <si>
    <t>Ic</t>
  </si>
  <si>
    <t> K.Nakajima </t>
  </si>
  <si>
    <t>2454177.241 </t>
  </si>
  <si>
    <t> 17.03.2007 17:47 </t>
  </si>
  <si>
    <t> 0.124 </t>
  </si>
  <si>
    <t> K.Kanai </t>
  </si>
  <si>
    <t>2454243.030 </t>
  </si>
  <si>
    <t> 22.05.2007 12:43 </t>
  </si>
  <si>
    <t> 0.139 </t>
  </si>
  <si>
    <t>2454527.146 </t>
  </si>
  <si>
    <t> 01.03.2008 15:30 </t>
  </si>
  <si>
    <t> 0.111 </t>
  </si>
  <si>
    <t>JAVSO 49, 108</t>
  </si>
  <si>
    <t>JBAV, 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</si>
</sst>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\$#,##0_);&quot;($&quot;#,##0\)"/>
    <numFmt numFmtId="165" formatCode="m/d/yyyy\ h:mm"/>
    <numFmt numFmtId="166" formatCode="d/mm/yyyy;@"/>
    <numFmt numFmtId="167" formatCode="0.00000"/>
  </numFmts>
  <fonts count="17" x14ac:knownFonts="1">
    <font>
      <sz val="10"/>
      <name val="Arial"/>
      <family val="2"/>
    </font>
    <font>
      <sz val="10"/>
      <name val="Arial"/>
      <family val="2"/>
    </font>
    <font>
      <sz val="12"/>
      <color indexed="8"/>
      <name val="Arial"/>
      <family val="2"/>
    </font>
    <font>
      <sz val="16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0"/>
      <name val="Arial"/>
      <family val="2"/>
    </font>
    <font>
      <sz val="10"/>
      <color indexed="16"/>
      <name val="Arial"/>
      <family val="2"/>
    </font>
    <font>
      <sz val="10"/>
      <color indexed="12"/>
      <name val="Arial"/>
      <family val="2"/>
    </font>
    <font>
      <sz val="10"/>
      <color indexed="17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1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8">
    <xf numFmtId="0" fontId="0" fillId="0" borderId="0">
      <alignment vertical="top"/>
    </xf>
    <xf numFmtId="43" fontId="1" fillId="0" borderId="0" applyFill="0" applyBorder="0" applyAlignment="0" applyProtection="0"/>
    <xf numFmtId="3" fontId="15" fillId="0" borderId="0" applyFill="0" applyBorder="0" applyProtection="0">
      <alignment vertical="top"/>
    </xf>
    <xf numFmtId="164" fontId="15" fillId="0" borderId="0" applyFill="0" applyBorder="0" applyProtection="0">
      <alignment vertical="top"/>
    </xf>
    <xf numFmtId="0" fontId="15" fillId="0" borderId="0" applyFill="0" applyBorder="0" applyProtection="0">
      <alignment vertical="top"/>
    </xf>
    <xf numFmtId="2" fontId="15" fillId="0" borderId="0" applyFill="0" applyBorder="0" applyProtection="0">
      <alignment vertical="top"/>
    </xf>
    <xf numFmtId="0" fontId="14" fillId="0" borderId="0" applyNumberFormat="0" applyFill="0" applyBorder="0" applyProtection="0">
      <alignment vertical="top"/>
    </xf>
    <xf numFmtId="0" fontId="2" fillId="0" borderId="0"/>
  </cellStyleXfs>
  <cellXfs count="59">
    <xf numFmtId="0" fontId="0" fillId="0" borderId="0" xfId="0">
      <alignment vertical="top"/>
    </xf>
    <xf numFmtId="0" fontId="0" fillId="0" borderId="0" xfId="0" applyAlignment="1"/>
    <xf numFmtId="0" fontId="3" fillId="0" borderId="0" xfId="0" applyFont="1" applyAlignment="1"/>
    <xf numFmtId="0" fontId="4" fillId="0" borderId="1" xfId="0" applyFont="1" applyBorder="1" applyAlignment="1">
      <alignment horizontal="left"/>
    </xf>
    <xf numFmtId="0" fontId="5" fillId="0" borderId="0" xfId="0" applyFont="1" applyAlignment="1"/>
    <xf numFmtId="0" fontId="0" fillId="0" borderId="2" xfId="0" applyBorder="1" applyAlignment="1"/>
    <xf numFmtId="0" fontId="0" fillId="0" borderId="3" xfId="0" applyBorder="1" applyAlignment="1"/>
    <xf numFmtId="0" fontId="6" fillId="0" borderId="0" xfId="0" applyFont="1">
      <alignment vertical="top"/>
    </xf>
    <xf numFmtId="0" fontId="7" fillId="0" borderId="0" xfId="0" applyFont="1">
      <alignment vertical="top"/>
    </xf>
    <xf numFmtId="0" fontId="8" fillId="0" borderId="0" xfId="0" applyFont="1">
      <alignment vertical="top"/>
    </xf>
    <xf numFmtId="0" fontId="7" fillId="0" borderId="0" xfId="0" applyFont="1" applyAlignment="1">
      <alignment horizontal="left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0" fillId="0" borderId="4" xfId="0" applyBorder="1" applyAlignment="1">
      <alignment horizontal="center"/>
    </xf>
    <xf numFmtId="0" fontId="9" fillId="0" borderId="0" xfId="0" applyFont="1">
      <alignment vertical="top"/>
    </xf>
    <xf numFmtId="0" fontId="0" fillId="0" borderId="0" xfId="0" applyAlignment="1">
      <alignment horizontal="center"/>
    </xf>
    <xf numFmtId="0" fontId="5" fillId="0" borderId="0" xfId="0" applyFont="1">
      <alignment vertical="top"/>
    </xf>
    <xf numFmtId="0" fontId="9" fillId="0" borderId="0" xfId="0" applyFont="1" applyAlignment="1">
      <alignment horizontal="center"/>
    </xf>
    <xf numFmtId="0" fontId="0" fillId="0" borderId="2" xfId="0" applyBorder="1">
      <alignment vertical="top"/>
    </xf>
    <xf numFmtId="0" fontId="0" fillId="0" borderId="3" xfId="0" applyBorder="1">
      <alignment vertical="top"/>
    </xf>
    <xf numFmtId="165" fontId="9" fillId="0" borderId="0" xfId="0" applyNumberFormat="1" applyFont="1">
      <alignment vertical="top"/>
    </xf>
    <xf numFmtId="0" fontId="5" fillId="0" borderId="4" xfId="0" applyFont="1" applyBorder="1" applyAlignment="1">
      <alignment horizontal="center"/>
    </xf>
    <xf numFmtId="0" fontId="10" fillId="0" borderId="0" xfId="0" applyFont="1" applyAlignmen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0" fontId="0" fillId="0" borderId="0" xfId="0" applyAlignment="1">
      <alignment horizontal="left"/>
    </xf>
    <xf numFmtId="0" fontId="4" fillId="0" borderId="0" xfId="0" applyFont="1" applyAlignment="1"/>
    <xf numFmtId="0" fontId="4" fillId="0" borderId="0" xfId="0" applyFont="1" applyAlignment="1">
      <alignment horizontal="left"/>
    </xf>
    <xf numFmtId="0" fontId="4" fillId="0" borderId="0" xfId="0" applyFont="1">
      <alignment vertical="top"/>
    </xf>
    <xf numFmtId="0" fontId="4" fillId="0" borderId="0" xfId="0" applyFont="1" applyAlignment="1">
      <alignment horizont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0" fontId="10" fillId="0" borderId="0" xfId="7" applyFont="1"/>
    <xf numFmtId="0" fontId="10" fillId="0" borderId="0" xfId="7" applyFont="1" applyAlignment="1">
      <alignment horizontal="center"/>
    </xf>
    <xf numFmtId="0" fontId="10" fillId="0" borderId="0" xfId="7" applyFont="1" applyAlignment="1">
      <alignment horizontal="left"/>
    </xf>
    <xf numFmtId="0" fontId="9" fillId="0" borderId="0" xfId="7" applyFont="1" applyAlignment="1">
      <alignment horizontal="left"/>
    </xf>
    <xf numFmtId="0" fontId="12" fillId="0" borderId="0" xfId="0" applyFont="1" applyAlignment="1"/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0" fillId="0" borderId="5" xfId="0" applyBorder="1" applyAlignment="1">
      <alignment horizontal="center"/>
    </xf>
    <xf numFmtId="0" fontId="0" fillId="0" borderId="6" xfId="0" applyBorder="1">
      <alignment vertical="top"/>
    </xf>
    <xf numFmtId="0" fontId="0" fillId="0" borderId="7" xfId="0" applyBorder="1" applyAlignment="1">
      <alignment horizontal="center"/>
    </xf>
    <xf numFmtId="0" fontId="0" fillId="0" borderId="8" xfId="0" applyBorder="1">
      <alignment vertical="top"/>
    </xf>
    <xf numFmtId="0" fontId="14" fillId="0" borderId="0" xfId="6" applyNumberFormat="1" applyFill="1" applyBorder="1" applyAlignment="1" applyProtection="1">
      <alignment horizontal="left"/>
    </xf>
    <xf numFmtId="0" fontId="0" fillId="0" borderId="9" xfId="0" applyBorder="1" applyAlignment="1">
      <alignment horizontal="center"/>
    </xf>
    <xf numFmtId="0" fontId="0" fillId="0" borderId="10" xfId="0" applyBorder="1">
      <alignment vertical="top"/>
    </xf>
    <xf numFmtId="0" fontId="4" fillId="2" borderId="11" xfId="0" applyFont="1" applyFill="1" applyBorder="1" applyAlignment="1">
      <alignment horizontal="left" vertical="top" wrapText="1" indent="1"/>
    </xf>
    <xf numFmtId="0" fontId="4" fillId="2" borderId="11" xfId="0" applyFont="1" applyFill="1" applyBorder="1" applyAlignment="1">
      <alignment horizontal="center" vertical="top" wrapText="1"/>
    </xf>
    <xf numFmtId="0" fontId="4" fillId="2" borderId="11" xfId="0" applyFont="1" applyFill="1" applyBorder="1" applyAlignment="1">
      <alignment horizontal="right" vertical="top" wrapText="1"/>
    </xf>
    <xf numFmtId="0" fontId="14" fillId="2" borderId="11" xfId="6" applyNumberFormat="1" applyFill="1" applyBorder="1" applyAlignment="1" applyProtection="1">
      <alignment horizontal="right" vertical="top" wrapText="1"/>
    </xf>
    <xf numFmtId="166" fontId="0" fillId="0" borderId="0" xfId="0" applyNumberFormat="1" applyAlignment="1"/>
    <xf numFmtId="43" fontId="16" fillId="0" borderId="0" xfId="1" applyFont="1" applyBorder="1"/>
    <xf numFmtId="167" fontId="16" fillId="0" borderId="0" xfId="0" applyNumberFormat="1" applyFont="1" applyAlignment="1" applyProtection="1">
      <alignment vertical="center" wrapText="1"/>
      <protection locked="0"/>
    </xf>
    <xf numFmtId="0" fontId="16" fillId="0" borderId="0" xfId="0" applyFont="1" applyAlignment="1">
      <alignment vertical="center" wrapText="1"/>
    </xf>
  </cellXfs>
  <cellStyles count="8">
    <cellStyle name="Comma" xfId="1" builtinId="3"/>
    <cellStyle name="Comma0" xfId="2" xr:uid="{00000000-0005-0000-0000-000001000000}"/>
    <cellStyle name="Currency0" xfId="3" xr:uid="{00000000-0005-0000-0000-000002000000}"/>
    <cellStyle name="Date" xfId="4" xr:uid="{00000000-0005-0000-0000-000003000000}"/>
    <cellStyle name="Fixed" xfId="5" xr:uid="{00000000-0005-0000-0000-000004000000}"/>
    <cellStyle name="Hyperlink" xfId="6" builtinId="8"/>
    <cellStyle name="Normal" xfId="0" builtinId="0"/>
    <cellStyle name="Normal_A" xfId="7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DL Vir - O-C Diagr.</a:t>
            </a:r>
          </a:p>
        </c:rich>
      </c:tx>
      <c:layout>
        <c:manualLayout>
          <c:xMode val="edge"/>
          <c:yMode val="edge"/>
          <c:x val="0.37812532808398946"/>
          <c:y val="3.14465408805031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062510728844246"/>
          <c:y val="0.15199227455058686"/>
          <c:w val="0.80625061512040341"/>
          <c:h val="0.64989682893411915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Active!$F$21:$F$500</c:f>
              <c:numCache>
                <c:formatCode>General</c:formatCode>
                <c:ptCount val="480"/>
                <c:pt idx="0">
                  <c:v>-6835</c:v>
                </c:pt>
                <c:pt idx="1">
                  <c:v>-6619</c:v>
                </c:pt>
                <c:pt idx="2">
                  <c:v>-5735</c:v>
                </c:pt>
                <c:pt idx="3">
                  <c:v>-4651</c:v>
                </c:pt>
                <c:pt idx="4">
                  <c:v>-4134</c:v>
                </c:pt>
                <c:pt idx="5">
                  <c:v>-3839</c:v>
                </c:pt>
                <c:pt idx="6">
                  <c:v>-3234</c:v>
                </c:pt>
                <c:pt idx="7">
                  <c:v>-2695</c:v>
                </c:pt>
                <c:pt idx="8">
                  <c:v>-2429</c:v>
                </c:pt>
                <c:pt idx="9">
                  <c:v>-1871</c:v>
                </c:pt>
                <c:pt idx="10">
                  <c:v>-1849</c:v>
                </c:pt>
                <c:pt idx="11">
                  <c:v>0</c:v>
                </c:pt>
                <c:pt idx="12">
                  <c:v>0</c:v>
                </c:pt>
                <c:pt idx="13">
                  <c:v>25</c:v>
                </c:pt>
                <c:pt idx="14">
                  <c:v>47</c:v>
                </c:pt>
                <c:pt idx="15">
                  <c:v>63</c:v>
                </c:pt>
                <c:pt idx="16">
                  <c:v>66</c:v>
                </c:pt>
                <c:pt idx="17">
                  <c:v>88</c:v>
                </c:pt>
                <c:pt idx="18">
                  <c:v>107</c:v>
                </c:pt>
                <c:pt idx="19">
                  <c:v>110</c:v>
                </c:pt>
                <c:pt idx="20">
                  <c:v>129</c:v>
                </c:pt>
                <c:pt idx="21">
                  <c:v>2581</c:v>
                </c:pt>
                <c:pt idx="22">
                  <c:v>3968</c:v>
                </c:pt>
                <c:pt idx="23">
                  <c:v>8657</c:v>
                </c:pt>
                <c:pt idx="24">
                  <c:v>8657</c:v>
                </c:pt>
                <c:pt idx="25">
                  <c:v>8663</c:v>
                </c:pt>
                <c:pt idx="26">
                  <c:v>10589</c:v>
                </c:pt>
                <c:pt idx="27">
                  <c:v>10589</c:v>
                </c:pt>
                <c:pt idx="28">
                  <c:v>11177</c:v>
                </c:pt>
                <c:pt idx="29">
                  <c:v>11667</c:v>
                </c:pt>
                <c:pt idx="30">
                  <c:v>11692</c:v>
                </c:pt>
                <c:pt idx="31">
                  <c:v>11742</c:v>
                </c:pt>
                <c:pt idx="32">
                  <c:v>11958</c:v>
                </c:pt>
                <c:pt idx="33">
                  <c:v>12514</c:v>
                </c:pt>
                <c:pt idx="34">
                  <c:v>12552</c:v>
                </c:pt>
                <c:pt idx="35">
                  <c:v>12774</c:v>
                </c:pt>
                <c:pt idx="36">
                  <c:v>12790</c:v>
                </c:pt>
                <c:pt idx="37">
                  <c:v>12812</c:v>
                </c:pt>
                <c:pt idx="38">
                  <c:v>13072</c:v>
                </c:pt>
                <c:pt idx="39">
                  <c:v>13121</c:v>
                </c:pt>
                <c:pt idx="40">
                  <c:v>13357</c:v>
                </c:pt>
                <c:pt idx="41">
                  <c:v>13398</c:v>
                </c:pt>
                <c:pt idx="42">
                  <c:v>13401</c:v>
                </c:pt>
                <c:pt idx="43">
                  <c:v>14498</c:v>
                </c:pt>
                <c:pt idx="44">
                  <c:v>14803</c:v>
                </c:pt>
                <c:pt idx="45">
                  <c:v>15364</c:v>
                </c:pt>
                <c:pt idx="46">
                  <c:v>15937</c:v>
                </c:pt>
              </c:numCache>
            </c:numRef>
          </c:xVal>
          <c:yVal>
            <c:numRef>
              <c:f>Active!$H$21:$H$500</c:f>
              <c:numCache>
                <c:formatCode>General</c:formatCode>
                <c:ptCount val="480"/>
                <c:pt idx="0">
                  <c:v>3.8000000022293534E-3</c:v>
                </c:pt>
                <c:pt idx="1">
                  <c:v>-2.088000000003376E-2</c:v>
                </c:pt>
                <c:pt idx="2">
                  <c:v>-4.620000000068103E-2</c:v>
                </c:pt>
                <c:pt idx="3">
                  <c:v>-1.9520000001648441E-2</c:v>
                </c:pt>
                <c:pt idx="4">
                  <c:v>3.1999999919207767E-4</c:v>
                </c:pt>
                <c:pt idx="5">
                  <c:v>-3.6280000007536728E-2</c:v>
                </c:pt>
                <c:pt idx="6">
                  <c:v>-4.6679999999469146E-2</c:v>
                </c:pt>
                <c:pt idx="7">
                  <c:v>-5.6400000001303852E-2</c:v>
                </c:pt>
                <c:pt idx="8">
                  <c:v>6.9199999998090789E-3</c:v>
                </c:pt>
                <c:pt idx="9">
                  <c:v>-5.9200000032433309E-3</c:v>
                </c:pt>
                <c:pt idx="10">
                  <c:v>2.3520000002463348E-2</c:v>
                </c:pt>
                <c:pt idx="11">
                  <c:v>0</c:v>
                </c:pt>
                <c:pt idx="12">
                  <c:v>1.6999999999825377E-2</c:v>
                </c:pt>
                <c:pt idx="13">
                  <c:v>2.8999999994994141E-2</c:v>
                </c:pt>
                <c:pt idx="14">
                  <c:v>5.7440000004135072E-2</c:v>
                </c:pt>
                <c:pt idx="15">
                  <c:v>-3.8240000001678709E-2</c:v>
                </c:pt>
                <c:pt idx="16">
                  <c:v>9.3199999973876402E-3</c:v>
                </c:pt>
                <c:pt idx="17">
                  <c:v>-4.2399999947519973E-3</c:v>
                </c:pt>
                <c:pt idx="18">
                  <c:v>-9.3600000036531128E-3</c:v>
                </c:pt>
                <c:pt idx="19">
                  <c:v>-8.8000000032479875E-3</c:v>
                </c:pt>
                <c:pt idx="20">
                  <c:v>-2.9920000000856817E-2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177-433A-90CA-4643F74F6FDB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Active!$F$21:$F$65</c:f>
              <c:numCache>
                <c:formatCode>General</c:formatCode>
                <c:ptCount val="45"/>
                <c:pt idx="0">
                  <c:v>-6835</c:v>
                </c:pt>
                <c:pt idx="1">
                  <c:v>-6619</c:v>
                </c:pt>
                <c:pt idx="2">
                  <c:v>-5735</c:v>
                </c:pt>
                <c:pt idx="3">
                  <c:v>-4651</c:v>
                </c:pt>
                <c:pt idx="4">
                  <c:v>-4134</c:v>
                </c:pt>
                <c:pt idx="5">
                  <c:v>-3839</c:v>
                </c:pt>
                <c:pt idx="6">
                  <c:v>-3234</c:v>
                </c:pt>
                <c:pt idx="7">
                  <c:v>-2695</c:v>
                </c:pt>
                <c:pt idx="8">
                  <c:v>-2429</c:v>
                </c:pt>
                <c:pt idx="9">
                  <c:v>-1871</c:v>
                </c:pt>
                <c:pt idx="10">
                  <c:v>-1849</c:v>
                </c:pt>
                <c:pt idx="11">
                  <c:v>0</c:v>
                </c:pt>
                <c:pt idx="12">
                  <c:v>0</c:v>
                </c:pt>
                <c:pt idx="13">
                  <c:v>25</c:v>
                </c:pt>
                <c:pt idx="14">
                  <c:v>47</c:v>
                </c:pt>
                <c:pt idx="15">
                  <c:v>63</c:v>
                </c:pt>
                <c:pt idx="16">
                  <c:v>66</c:v>
                </c:pt>
                <c:pt idx="17">
                  <c:v>88</c:v>
                </c:pt>
                <c:pt idx="18">
                  <c:v>107</c:v>
                </c:pt>
                <c:pt idx="19">
                  <c:v>110</c:v>
                </c:pt>
                <c:pt idx="20">
                  <c:v>129</c:v>
                </c:pt>
                <c:pt idx="21">
                  <c:v>2581</c:v>
                </c:pt>
                <c:pt idx="22">
                  <c:v>3968</c:v>
                </c:pt>
                <c:pt idx="23">
                  <c:v>8657</c:v>
                </c:pt>
                <c:pt idx="24">
                  <c:v>8657</c:v>
                </c:pt>
                <c:pt idx="25">
                  <c:v>8663</c:v>
                </c:pt>
                <c:pt idx="26">
                  <c:v>10589</c:v>
                </c:pt>
                <c:pt idx="27">
                  <c:v>10589</c:v>
                </c:pt>
                <c:pt idx="28">
                  <c:v>11177</c:v>
                </c:pt>
                <c:pt idx="29">
                  <c:v>11667</c:v>
                </c:pt>
                <c:pt idx="30">
                  <c:v>11692</c:v>
                </c:pt>
                <c:pt idx="31">
                  <c:v>11742</c:v>
                </c:pt>
                <c:pt idx="32">
                  <c:v>11958</c:v>
                </c:pt>
                <c:pt idx="33">
                  <c:v>12514</c:v>
                </c:pt>
                <c:pt idx="34">
                  <c:v>12552</c:v>
                </c:pt>
                <c:pt idx="35">
                  <c:v>12774</c:v>
                </c:pt>
                <c:pt idx="36">
                  <c:v>12790</c:v>
                </c:pt>
                <c:pt idx="37">
                  <c:v>12812</c:v>
                </c:pt>
                <c:pt idx="38">
                  <c:v>13072</c:v>
                </c:pt>
                <c:pt idx="39">
                  <c:v>13121</c:v>
                </c:pt>
                <c:pt idx="40">
                  <c:v>13357</c:v>
                </c:pt>
                <c:pt idx="41">
                  <c:v>13398</c:v>
                </c:pt>
                <c:pt idx="42">
                  <c:v>13401</c:v>
                </c:pt>
                <c:pt idx="43">
                  <c:v>14498</c:v>
                </c:pt>
                <c:pt idx="44">
                  <c:v>14803</c:v>
                </c:pt>
              </c:numCache>
            </c:numRef>
          </c:xVal>
          <c:yVal>
            <c:numRef>
              <c:f>Active!$I$21:$I$65</c:f>
              <c:numCache>
                <c:formatCode>General</c:formatCode>
                <c:ptCount val="45"/>
                <c:pt idx="22">
                  <c:v>7.136000000173226E-2</c:v>
                </c:pt>
                <c:pt idx="23">
                  <c:v>0.11664000000018859</c:v>
                </c:pt>
                <c:pt idx="24">
                  <c:v>0.11763999999675434</c:v>
                </c:pt>
                <c:pt idx="25">
                  <c:v>0.11276000000361819</c:v>
                </c:pt>
                <c:pt idx="30">
                  <c:v>0.12384000000020023</c:v>
                </c:pt>
                <c:pt idx="31">
                  <c:v>0.13883999999961816</c:v>
                </c:pt>
                <c:pt idx="32">
                  <c:v>0.11116000000038184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177-433A-90CA-4643F74F6FDB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Active!$F$21:$F$500</c:f>
              <c:numCache>
                <c:formatCode>General</c:formatCode>
                <c:ptCount val="480"/>
                <c:pt idx="0">
                  <c:v>-6835</c:v>
                </c:pt>
                <c:pt idx="1">
                  <c:v>-6619</c:v>
                </c:pt>
                <c:pt idx="2">
                  <c:v>-5735</c:v>
                </c:pt>
                <c:pt idx="3">
                  <c:v>-4651</c:v>
                </c:pt>
                <c:pt idx="4">
                  <c:v>-4134</c:v>
                </c:pt>
                <c:pt idx="5">
                  <c:v>-3839</c:v>
                </c:pt>
                <c:pt idx="6">
                  <c:v>-3234</c:v>
                </c:pt>
                <c:pt idx="7">
                  <c:v>-2695</c:v>
                </c:pt>
                <c:pt idx="8">
                  <c:v>-2429</c:v>
                </c:pt>
                <c:pt idx="9">
                  <c:v>-1871</c:v>
                </c:pt>
                <c:pt idx="10">
                  <c:v>-1849</c:v>
                </c:pt>
                <c:pt idx="11">
                  <c:v>0</c:v>
                </c:pt>
                <c:pt idx="12">
                  <c:v>0</c:v>
                </c:pt>
                <c:pt idx="13">
                  <c:v>25</c:v>
                </c:pt>
                <c:pt idx="14">
                  <c:v>47</c:v>
                </c:pt>
                <c:pt idx="15">
                  <c:v>63</c:v>
                </c:pt>
                <c:pt idx="16">
                  <c:v>66</c:v>
                </c:pt>
                <c:pt idx="17">
                  <c:v>88</c:v>
                </c:pt>
                <c:pt idx="18">
                  <c:v>107</c:v>
                </c:pt>
                <c:pt idx="19">
                  <c:v>110</c:v>
                </c:pt>
                <c:pt idx="20">
                  <c:v>129</c:v>
                </c:pt>
                <c:pt idx="21">
                  <c:v>2581</c:v>
                </c:pt>
                <c:pt idx="22">
                  <c:v>3968</c:v>
                </c:pt>
                <c:pt idx="23">
                  <c:v>8657</c:v>
                </c:pt>
                <c:pt idx="24">
                  <c:v>8657</c:v>
                </c:pt>
                <c:pt idx="25">
                  <c:v>8663</c:v>
                </c:pt>
                <c:pt idx="26">
                  <c:v>10589</c:v>
                </c:pt>
                <c:pt idx="27">
                  <c:v>10589</c:v>
                </c:pt>
                <c:pt idx="28">
                  <c:v>11177</c:v>
                </c:pt>
                <c:pt idx="29">
                  <c:v>11667</c:v>
                </c:pt>
                <c:pt idx="30">
                  <c:v>11692</c:v>
                </c:pt>
                <c:pt idx="31">
                  <c:v>11742</c:v>
                </c:pt>
                <c:pt idx="32">
                  <c:v>11958</c:v>
                </c:pt>
                <c:pt idx="33">
                  <c:v>12514</c:v>
                </c:pt>
                <c:pt idx="34">
                  <c:v>12552</c:v>
                </c:pt>
                <c:pt idx="35">
                  <c:v>12774</c:v>
                </c:pt>
                <c:pt idx="36">
                  <c:v>12790</c:v>
                </c:pt>
                <c:pt idx="37">
                  <c:v>12812</c:v>
                </c:pt>
                <c:pt idx="38">
                  <c:v>13072</c:v>
                </c:pt>
                <c:pt idx="39">
                  <c:v>13121</c:v>
                </c:pt>
                <c:pt idx="40">
                  <c:v>13357</c:v>
                </c:pt>
                <c:pt idx="41">
                  <c:v>13398</c:v>
                </c:pt>
                <c:pt idx="42">
                  <c:v>13401</c:v>
                </c:pt>
                <c:pt idx="43">
                  <c:v>14498</c:v>
                </c:pt>
                <c:pt idx="44">
                  <c:v>14803</c:v>
                </c:pt>
                <c:pt idx="45">
                  <c:v>15364</c:v>
                </c:pt>
                <c:pt idx="46">
                  <c:v>15937</c:v>
                </c:pt>
              </c:numCache>
            </c:numRef>
          </c:xVal>
          <c:yVal>
            <c:numRef>
              <c:f>Active!$J$21:$J$500</c:f>
              <c:numCache>
                <c:formatCode>General</c:formatCode>
                <c:ptCount val="480"/>
                <c:pt idx="21">
                  <c:v>1.7019999999320135E-2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177-433A-90CA-4643F74F6FDB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Active!$F$21:$F$500</c:f>
              <c:numCache>
                <c:formatCode>General</c:formatCode>
                <c:ptCount val="480"/>
                <c:pt idx="0">
                  <c:v>-6835</c:v>
                </c:pt>
                <c:pt idx="1">
                  <c:v>-6619</c:v>
                </c:pt>
                <c:pt idx="2">
                  <c:v>-5735</c:v>
                </c:pt>
                <c:pt idx="3">
                  <c:v>-4651</c:v>
                </c:pt>
                <c:pt idx="4">
                  <c:v>-4134</c:v>
                </c:pt>
                <c:pt idx="5">
                  <c:v>-3839</c:v>
                </c:pt>
                <c:pt idx="6">
                  <c:v>-3234</c:v>
                </c:pt>
                <c:pt idx="7">
                  <c:v>-2695</c:v>
                </c:pt>
                <c:pt idx="8">
                  <c:v>-2429</c:v>
                </c:pt>
                <c:pt idx="9">
                  <c:v>-1871</c:v>
                </c:pt>
                <c:pt idx="10">
                  <c:v>-1849</c:v>
                </c:pt>
                <c:pt idx="11">
                  <c:v>0</c:v>
                </c:pt>
                <c:pt idx="12">
                  <c:v>0</c:v>
                </c:pt>
                <c:pt idx="13">
                  <c:v>25</c:v>
                </c:pt>
                <c:pt idx="14">
                  <c:v>47</c:v>
                </c:pt>
                <c:pt idx="15">
                  <c:v>63</c:v>
                </c:pt>
                <c:pt idx="16">
                  <c:v>66</c:v>
                </c:pt>
                <c:pt idx="17">
                  <c:v>88</c:v>
                </c:pt>
                <c:pt idx="18">
                  <c:v>107</c:v>
                </c:pt>
                <c:pt idx="19">
                  <c:v>110</c:v>
                </c:pt>
                <c:pt idx="20">
                  <c:v>129</c:v>
                </c:pt>
                <c:pt idx="21">
                  <c:v>2581</c:v>
                </c:pt>
                <c:pt idx="22">
                  <c:v>3968</c:v>
                </c:pt>
                <c:pt idx="23">
                  <c:v>8657</c:v>
                </c:pt>
                <c:pt idx="24">
                  <c:v>8657</c:v>
                </c:pt>
                <c:pt idx="25">
                  <c:v>8663</c:v>
                </c:pt>
                <c:pt idx="26">
                  <c:v>10589</c:v>
                </c:pt>
                <c:pt idx="27">
                  <c:v>10589</c:v>
                </c:pt>
                <c:pt idx="28">
                  <c:v>11177</c:v>
                </c:pt>
                <c:pt idx="29">
                  <c:v>11667</c:v>
                </c:pt>
                <c:pt idx="30">
                  <c:v>11692</c:v>
                </c:pt>
                <c:pt idx="31">
                  <c:v>11742</c:v>
                </c:pt>
                <c:pt idx="32">
                  <c:v>11958</c:v>
                </c:pt>
                <c:pt idx="33">
                  <c:v>12514</c:v>
                </c:pt>
                <c:pt idx="34">
                  <c:v>12552</c:v>
                </c:pt>
                <c:pt idx="35">
                  <c:v>12774</c:v>
                </c:pt>
                <c:pt idx="36">
                  <c:v>12790</c:v>
                </c:pt>
                <c:pt idx="37">
                  <c:v>12812</c:v>
                </c:pt>
                <c:pt idx="38">
                  <c:v>13072</c:v>
                </c:pt>
                <c:pt idx="39">
                  <c:v>13121</c:v>
                </c:pt>
                <c:pt idx="40">
                  <c:v>13357</c:v>
                </c:pt>
                <c:pt idx="41">
                  <c:v>13398</c:v>
                </c:pt>
                <c:pt idx="42">
                  <c:v>13401</c:v>
                </c:pt>
                <c:pt idx="43">
                  <c:v>14498</c:v>
                </c:pt>
                <c:pt idx="44">
                  <c:v>14803</c:v>
                </c:pt>
                <c:pt idx="45">
                  <c:v>15364</c:v>
                </c:pt>
                <c:pt idx="46">
                  <c:v>15937</c:v>
                </c:pt>
              </c:numCache>
            </c:numRef>
          </c:xVal>
          <c:yVal>
            <c:numRef>
              <c:f>Active!$K$21:$K$500</c:f>
              <c:numCache>
                <c:formatCode>General</c:formatCode>
                <c:ptCount val="480"/>
                <c:pt idx="26">
                  <c:v>0.12917999999626772</c:v>
                </c:pt>
                <c:pt idx="27">
                  <c:v>0.12921999999525724</c:v>
                </c:pt>
                <c:pt idx="28">
                  <c:v>0.11323999999149237</c:v>
                </c:pt>
                <c:pt idx="29">
                  <c:v>0.11923999999999069</c:v>
                </c:pt>
                <c:pt idx="33">
                  <c:v>0.13175000000046566</c:v>
                </c:pt>
                <c:pt idx="34">
                  <c:v>0.12511000000085915</c:v>
                </c:pt>
                <c:pt idx="35">
                  <c:v>0.12539000000106171</c:v>
                </c:pt>
                <c:pt idx="36">
                  <c:v>0.1176699999923585</c:v>
                </c:pt>
                <c:pt idx="37">
                  <c:v>0.12174000000231899</c:v>
                </c:pt>
                <c:pt idx="38">
                  <c:v>0.12327999999979511</c:v>
                </c:pt>
                <c:pt idx="39">
                  <c:v>0.1175199999997858</c:v>
                </c:pt>
                <c:pt idx="40">
                  <c:v>0.12614000000030501</c:v>
                </c:pt>
                <c:pt idx="41">
                  <c:v>0.12586000000010245</c:v>
                </c:pt>
                <c:pt idx="42">
                  <c:v>0.12415000000328291</c:v>
                </c:pt>
                <c:pt idx="43">
                  <c:v>0.12495999999373453</c:v>
                </c:pt>
                <c:pt idx="44">
                  <c:v>0.11755999999877531</c:v>
                </c:pt>
                <c:pt idx="45">
                  <c:v>0.13717999999789754</c:v>
                </c:pt>
                <c:pt idx="46">
                  <c:v>0.14024000020435778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177-433A-90CA-4643F74F6FDB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VSS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Active!$F$21:$F$65</c:f>
              <c:numCache>
                <c:formatCode>General</c:formatCode>
                <c:ptCount val="45"/>
                <c:pt idx="0">
                  <c:v>-6835</c:v>
                </c:pt>
                <c:pt idx="1">
                  <c:v>-6619</c:v>
                </c:pt>
                <c:pt idx="2">
                  <c:v>-5735</c:v>
                </c:pt>
                <c:pt idx="3">
                  <c:v>-4651</c:v>
                </c:pt>
                <c:pt idx="4">
                  <c:v>-4134</c:v>
                </c:pt>
                <c:pt idx="5">
                  <c:v>-3839</c:v>
                </c:pt>
                <c:pt idx="6">
                  <c:v>-3234</c:v>
                </c:pt>
                <c:pt idx="7">
                  <c:v>-2695</c:v>
                </c:pt>
                <c:pt idx="8">
                  <c:v>-2429</c:v>
                </c:pt>
                <c:pt idx="9">
                  <c:v>-1871</c:v>
                </c:pt>
                <c:pt idx="10">
                  <c:v>-1849</c:v>
                </c:pt>
                <c:pt idx="11">
                  <c:v>0</c:v>
                </c:pt>
                <c:pt idx="12">
                  <c:v>0</c:v>
                </c:pt>
                <c:pt idx="13">
                  <c:v>25</c:v>
                </c:pt>
                <c:pt idx="14">
                  <c:v>47</c:v>
                </c:pt>
                <c:pt idx="15">
                  <c:v>63</c:v>
                </c:pt>
                <c:pt idx="16">
                  <c:v>66</c:v>
                </c:pt>
                <c:pt idx="17">
                  <c:v>88</c:v>
                </c:pt>
                <c:pt idx="18">
                  <c:v>107</c:v>
                </c:pt>
                <c:pt idx="19">
                  <c:v>110</c:v>
                </c:pt>
                <c:pt idx="20">
                  <c:v>129</c:v>
                </c:pt>
                <c:pt idx="21">
                  <c:v>2581</c:v>
                </c:pt>
                <c:pt idx="22">
                  <c:v>3968</c:v>
                </c:pt>
                <c:pt idx="23">
                  <c:v>8657</c:v>
                </c:pt>
                <c:pt idx="24">
                  <c:v>8657</c:v>
                </c:pt>
                <c:pt idx="25">
                  <c:v>8663</c:v>
                </c:pt>
                <c:pt idx="26">
                  <c:v>10589</c:v>
                </c:pt>
                <c:pt idx="27">
                  <c:v>10589</c:v>
                </c:pt>
                <c:pt idx="28">
                  <c:v>11177</c:v>
                </c:pt>
                <c:pt idx="29">
                  <c:v>11667</c:v>
                </c:pt>
                <c:pt idx="30">
                  <c:v>11692</c:v>
                </c:pt>
                <c:pt idx="31">
                  <c:v>11742</c:v>
                </c:pt>
                <c:pt idx="32">
                  <c:v>11958</c:v>
                </c:pt>
                <c:pt idx="33">
                  <c:v>12514</c:v>
                </c:pt>
                <c:pt idx="34">
                  <c:v>12552</c:v>
                </c:pt>
                <c:pt idx="35">
                  <c:v>12774</c:v>
                </c:pt>
                <c:pt idx="36">
                  <c:v>12790</c:v>
                </c:pt>
                <c:pt idx="37">
                  <c:v>12812</c:v>
                </c:pt>
                <c:pt idx="38">
                  <c:v>13072</c:v>
                </c:pt>
                <c:pt idx="39">
                  <c:v>13121</c:v>
                </c:pt>
                <c:pt idx="40">
                  <c:v>13357</c:v>
                </c:pt>
                <c:pt idx="41">
                  <c:v>13398</c:v>
                </c:pt>
                <c:pt idx="42">
                  <c:v>13401</c:v>
                </c:pt>
                <c:pt idx="43">
                  <c:v>14498</c:v>
                </c:pt>
                <c:pt idx="44">
                  <c:v>14803</c:v>
                </c:pt>
              </c:numCache>
            </c:numRef>
          </c:xVal>
          <c:yVal>
            <c:numRef>
              <c:f>Active!$L$21:$L$65</c:f>
              <c:numCache>
                <c:formatCode>General</c:formatCode>
                <c:ptCount val="4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177-433A-90CA-4643F74F6FDB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969696"/>
              </a:solidFill>
              <a:ln>
                <a:solidFill>
                  <a:srgbClr val="969696"/>
                </a:solidFill>
                <a:prstDash val="solid"/>
              </a:ln>
            </c:spPr>
          </c:marker>
          <c:xVal>
            <c:numRef>
              <c:f>Active!$F$21:$F$65</c:f>
              <c:numCache>
                <c:formatCode>General</c:formatCode>
                <c:ptCount val="45"/>
                <c:pt idx="0">
                  <c:v>-6835</c:v>
                </c:pt>
                <c:pt idx="1">
                  <c:v>-6619</c:v>
                </c:pt>
                <c:pt idx="2">
                  <c:v>-5735</c:v>
                </c:pt>
                <c:pt idx="3">
                  <c:v>-4651</c:v>
                </c:pt>
                <c:pt idx="4">
                  <c:v>-4134</c:v>
                </c:pt>
                <c:pt idx="5">
                  <c:v>-3839</c:v>
                </c:pt>
                <c:pt idx="6">
                  <c:v>-3234</c:v>
                </c:pt>
                <c:pt idx="7">
                  <c:v>-2695</c:v>
                </c:pt>
                <c:pt idx="8">
                  <c:v>-2429</c:v>
                </c:pt>
                <c:pt idx="9">
                  <c:v>-1871</c:v>
                </c:pt>
                <c:pt idx="10">
                  <c:v>-1849</c:v>
                </c:pt>
                <c:pt idx="11">
                  <c:v>0</c:v>
                </c:pt>
                <c:pt idx="12">
                  <c:v>0</c:v>
                </c:pt>
                <c:pt idx="13">
                  <c:v>25</c:v>
                </c:pt>
                <c:pt idx="14">
                  <c:v>47</c:v>
                </c:pt>
                <c:pt idx="15">
                  <c:v>63</c:v>
                </c:pt>
                <c:pt idx="16">
                  <c:v>66</c:v>
                </c:pt>
                <c:pt idx="17">
                  <c:v>88</c:v>
                </c:pt>
                <c:pt idx="18">
                  <c:v>107</c:v>
                </c:pt>
                <c:pt idx="19">
                  <c:v>110</c:v>
                </c:pt>
                <c:pt idx="20">
                  <c:v>129</c:v>
                </c:pt>
                <c:pt idx="21">
                  <c:v>2581</c:v>
                </c:pt>
                <c:pt idx="22">
                  <c:v>3968</c:v>
                </c:pt>
                <c:pt idx="23">
                  <c:v>8657</c:v>
                </c:pt>
                <c:pt idx="24">
                  <c:v>8657</c:v>
                </c:pt>
                <c:pt idx="25">
                  <c:v>8663</c:v>
                </c:pt>
                <c:pt idx="26">
                  <c:v>10589</c:v>
                </c:pt>
                <c:pt idx="27">
                  <c:v>10589</c:v>
                </c:pt>
                <c:pt idx="28">
                  <c:v>11177</c:v>
                </c:pt>
                <c:pt idx="29">
                  <c:v>11667</c:v>
                </c:pt>
                <c:pt idx="30">
                  <c:v>11692</c:v>
                </c:pt>
                <c:pt idx="31">
                  <c:v>11742</c:v>
                </c:pt>
                <c:pt idx="32">
                  <c:v>11958</c:v>
                </c:pt>
                <c:pt idx="33">
                  <c:v>12514</c:v>
                </c:pt>
                <c:pt idx="34">
                  <c:v>12552</c:v>
                </c:pt>
                <c:pt idx="35">
                  <c:v>12774</c:v>
                </c:pt>
                <c:pt idx="36">
                  <c:v>12790</c:v>
                </c:pt>
                <c:pt idx="37">
                  <c:v>12812</c:v>
                </c:pt>
                <c:pt idx="38">
                  <c:v>13072</c:v>
                </c:pt>
                <c:pt idx="39">
                  <c:v>13121</c:v>
                </c:pt>
                <c:pt idx="40">
                  <c:v>13357</c:v>
                </c:pt>
                <c:pt idx="41">
                  <c:v>13398</c:v>
                </c:pt>
                <c:pt idx="42">
                  <c:v>13401</c:v>
                </c:pt>
                <c:pt idx="43">
                  <c:v>14498</c:v>
                </c:pt>
                <c:pt idx="44">
                  <c:v>14803</c:v>
                </c:pt>
              </c:numCache>
            </c:numRef>
          </c:xVal>
          <c:yVal>
            <c:numRef>
              <c:f>Active!$M$21:$M$65</c:f>
              <c:numCache>
                <c:formatCode>General</c:formatCode>
                <c:ptCount val="4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177-433A-90CA-4643F74F6FDB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Active!$F$21:$F$65</c:f>
              <c:numCache>
                <c:formatCode>General</c:formatCode>
                <c:ptCount val="45"/>
                <c:pt idx="0">
                  <c:v>-6835</c:v>
                </c:pt>
                <c:pt idx="1">
                  <c:v>-6619</c:v>
                </c:pt>
                <c:pt idx="2">
                  <c:v>-5735</c:v>
                </c:pt>
                <c:pt idx="3">
                  <c:v>-4651</c:v>
                </c:pt>
                <c:pt idx="4">
                  <c:v>-4134</c:v>
                </c:pt>
                <c:pt idx="5">
                  <c:v>-3839</c:v>
                </c:pt>
                <c:pt idx="6">
                  <c:v>-3234</c:v>
                </c:pt>
                <c:pt idx="7">
                  <c:v>-2695</c:v>
                </c:pt>
                <c:pt idx="8">
                  <c:v>-2429</c:v>
                </c:pt>
                <c:pt idx="9">
                  <c:v>-1871</c:v>
                </c:pt>
                <c:pt idx="10">
                  <c:v>-1849</c:v>
                </c:pt>
                <c:pt idx="11">
                  <c:v>0</c:v>
                </c:pt>
                <c:pt idx="12">
                  <c:v>0</c:v>
                </c:pt>
                <c:pt idx="13">
                  <c:v>25</c:v>
                </c:pt>
                <c:pt idx="14">
                  <c:v>47</c:v>
                </c:pt>
                <c:pt idx="15">
                  <c:v>63</c:v>
                </c:pt>
                <c:pt idx="16">
                  <c:v>66</c:v>
                </c:pt>
                <c:pt idx="17">
                  <c:v>88</c:v>
                </c:pt>
                <c:pt idx="18">
                  <c:v>107</c:v>
                </c:pt>
                <c:pt idx="19">
                  <c:v>110</c:v>
                </c:pt>
                <c:pt idx="20">
                  <c:v>129</c:v>
                </c:pt>
                <c:pt idx="21">
                  <c:v>2581</c:v>
                </c:pt>
                <c:pt idx="22">
                  <c:v>3968</c:v>
                </c:pt>
                <c:pt idx="23">
                  <c:v>8657</c:v>
                </c:pt>
                <c:pt idx="24">
                  <c:v>8657</c:v>
                </c:pt>
                <c:pt idx="25">
                  <c:v>8663</c:v>
                </c:pt>
                <c:pt idx="26">
                  <c:v>10589</c:v>
                </c:pt>
                <c:pt idx="27">
                  <c:v>10589</c:v>
                </c:pt>
                <c:pt idx="28">
                  <c:v>11177</c:v>
                </c:pt>
                <c:pt idx="29">
                  <c:v>11667</c:v>
                </c:pt>
                <c:pt idx="30">
                  <c:v>11692</c:v>
                </c:pt>
                <c:pt idx="31">
                  <c:v>11742</c:v>
                </c:pt>
                <c:pt idx="32">
                  <c:v>11958</c:v>
                </c:pt>
                <c:pt idx="33">
                  <c:v>12514</c:v>
                </c:pt>
                <c:pt idx="34">
                  <c:v>12552</c:v>
                </c:pt>
                <c:pt idx="35">
                  <c:v>12774</c:v>
                </c:pt>
                <c:pt idx="36">
                  <c:v>12790</c:v>
                </c:pt>
                <c:pt idx="37">
                  <c:v>12812</c:v>
                </c:pt>
                <c:pt idx="38">
                  <c:v>13072</c:v>
                </c:pt>
                <c:pt idx="39">
                  <c:v>13121</c:v>
                </c:pt>
                <c:pt idx="40">
                  <c:v>13357</c:v>
                </c:pt>
                <c:pt idx="41">
                  <c:v>13398</c:v>
                </c:pt>
                <c:pt idx="42">
                  <c:v>13401</c:v>
                </c:pt>
                <c:pt idx="43">
                  <c:v>14498</c:v>
                </c:pt>
                <c:pt idx="44">
                  <c:v>14803</c:v>
                </c:pt>
              </c:numCache>
            </c:numRef>
          </c:xVal>
          <c:yVal>
            <c:numRef>
              <c:f>Active!$N$21:$N$65</c:f>
              <c:numCache>
                <c:formatCode>General</c:formatCode>
                <c:ptCount val="4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177-433A-90CA-4643F74F6FDB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Active!$F$21:$F$65</c:f>
              <c:numCache>
                <c:formatCode>General</c:formatCode>
                <c:ptCount val="45"/>
                <c:pt idx="0">
                  <c:v>-6835</c:v>
                </c:pt>
                <c:pt idx="1">
                  <c:v>-6619</c:v>
                </c:pt>
                <c:pt idx="2">
                  <c:v>-5735</c:v>
                </c:pt>
                <c:pt idx="3">
                  <c:v>-4651</c:v>
                </c:pt>
                <c:pt idx="4">
                  <c:v>-4134</c:v>
                </c:pt>
                <c:pt idx="5">
                  <c:v>-3839</c:v>
                </c:pt>
                <c:pt idx="6">
                  <c:v>-3234</c:v>
                </c:pt>
                <c:pt idx="7">
                  <c:v>-2695</c:v>
                </c:pt>
                <c:pt idx="8">
                  <c:v>-2429</c:v>
                </c:pt>
                <c:pt idx="9">
                  <c:v>-1871</c:v>
                </c:pt>
                <c:pt idx="10">
                  <c:v>-1849</c:v>
                </c:pt>
                <c:pt idx="11">
                  <c:v>0</c:v>
                </c:pt>
                <c:pt idx="12">
                  <c:v>0</c:v>
                </c:pt>
                <c:pt idx="13">
                  <c:v>25</c:v>
                </c:pt>
                <c:pt idx="14">
                  <c:v>47</c:v>
                </c:pt>
                <c:pt idx="15">
                  <c:v>63</c:v>
                </c:pt>
                <c:pt idx="16">
                  <c:v>66</c:v>
                </c:pt>
                <c:pt idx="17">
                  <c:v>88</c:v>
                </c:pt>
                <c:pt idx="18">
                  <c:v>107</c:v>
                </c:pt>
                <c:pt idx="19">
                  <c:v>110</c:v>
                </c:pt>
                <c:pt idx="20">
                  <c:v>129</c:v>
                </c:pt>
                <c:pt idx="21">
                  <c:v>2581</c:v>
                </c:pt>
                <c:pt idx="22">
                  <c:v>3968</c:v>
                </c:pt>
                <c:pt idx="23">
                  <c:v>8657</c:v>
                </c:pt>
                <c:pt idx="24">
                  <c:v>8657</c:v>
                </c:pt>
                <c:pt idx="25">
                  <c:v>8663</c:v>
                </c:pt>
                <c:pt idx="26">
                  <c:v>10589</c:v>
                </c:pt>
                <c:pt idx="27">
                  <c:v>10589</c:v>
                </c:pt>
                <c:pt idx="28">
                  <c:v>11177</c:v>
                </c:pt>
                <c:pt idx="29">
                  <c:v>11667</c:v>
                </c:pt>
                <c:pt idx="30">
                  <c:v>11692</c:v>
                </c:pt>
                <c:pt idx="31">
                  <c:v>11742</c:v>
                </c:pt>
                <c:pt idx="32">
                  <c:v>11958</c:v>
                </c:pt>
                <c:pt idx="33">
                  <c:v>12514</c:v>
                </c:pt>
                <c:pt idx="34">
                  <c:v>12552</c:v>
                </c:pt>
                <c:pt idx="35">
                  <c:v>12774</c:v>
                </c:pt>
                <c:pt idx="36">
                  <c:v>12790</c:v>
                </c:pt>
                <c:pt idx="37">
                  <c:v>12812</c:v>
                </c:pt>
                <c:pt idx="38">
                  <c:v>13072</c:v>
                </c:pt>
                <c:pt idx="39">
                  <c:v>13121</c:v>
                </c:pt>
                <c:pt idx="40">
                  <c:v>13357</c:v>
                </c:pt>
                <c:pt idx="41">
                  <c:v>13398</c:v>
                </c:pt>
                <c:pt idx="42">
                  <c:v>13401</c:v>
                </c:pt>
                <c:pt idx="43">
                  <c:v>14498</c:v>
                </c:pt>
                <c:pt idx="44">
                  <c:v>14803</c:v>
                </c:pt>
              </c:numCache>
            </c:numRef>
          </c:xVal>
          <c:yVal>
            <c:numRef>
              <c:f>Active!$O$21:$O$65</c:f>
              <c:numCache>
                <c:formatCode>General</c:formatCode>
                <c:ptCount val="45"/>
                <c:pt idx="0">
                  <c:v>-5.0545451382944459E-2</c:v>
                </c:pt>
                <c:pt idx="1">
                  <c:v>-4.8608164971305032E-2</c:v>
                </c:pt>
                <c:pt idx="2">
                  <c:v>-4.0679640953299234E-2</c:v>
                </c:pt>
                <c:pt idx="3">
                  <c:v>-3.095733322081249E-2</c:v>
                </c:pt>
                <c:pt idx="4">
                  <c:v>-2.6320402318879235E-2</c:v>
                </c:pt>
                <c:pt idx="5">
                  <c:v>-2.367457134001983E-2</c:v>
                </c:pt>
                <c:pt idx="6">
                  <c:v>-1.8248375603714957E-2</c:v>
                </c:pt>
                <c:pt idx="7">
                  <c:v>-1.3414128493188796E-2</c:v>
                </c:pt>
                <c:pt idx="8">
                  <c:v>-1.1028396152929134E-2</c:v>
                </c:pt>
                <c:pt idx="9">
                  <c:v>-6.0237395895272848E-3</c:v>
                </c:pt>
                <c:pt idx="10">
                  <c:v>-5.8264233809343785E-3</c:v>
                </c:pt>
                <c:pt idx="11">
                  <c:v>1.0757107059442002E-2</c:v>
                </c:pt>
                <c:pt idx="12">
                  <c:v>1.0757107059442002E-2</c:v>
                </c:pt>
                <c:pt idx="13">
                  <c:v>1.0981330023752121E-2</c:v>
                </c:pt>
                <c:pt idx="14">
                  <c:v>1.1178646232345026E-2</c:v>
                </c:pt>
                <c:pt idx="15">
                  <c:v>1.1322148929503501E-2</c:v>
                </c:pt>
                <c:pt idx="16">
                  <c:v>1.1349055685220715E-2</c:v>
                </c:pt>
                <c:pt idx="17">
                  <c:v>1.154637189381362E-2</c:v>
                </c:pt>
                <c:pt idx="18">
                  <c:v>1.171678134668931E-2</c:v>
                </c:pt>
                <c:pt idx="19">
                  <c:v>1.1743688102406525E-2</c:v>
                </c:pt>
                <c:pt idx="20">
                  <c:v>1.1914097555282215E-2</c:v>
                </c:pt>
                <c:pt idx="21">
                  <c:v>3.390588589481866E-2</c:v>
                </c:pt>
                <c:pt idx="22">
                  <c:v>4.6345775954744046E-2</c:v>
                </c:pt>
                <c:pt idx="23">
                  <c:v>8.8401035140749928E-2</c:v>
                </c:pt>
                <c:pt idx="24">
                  <c:v>8.8401035140749928E-2</c:v>
                </c:pt>
                <c:pt idx="25">
                  <c:v>8.8454848652184337E-2</c:v>
                </c:pt>
                <c:pt idx="26">
                  <c:v>0.1057289858226359</c:v>
                </c:pt>
                <c:pt idx="27">
                  <c:v>0.1057289858226359</c:v>
                </c:pt>
                <c:pt idx="28">
                  <c:v>0.11100270994320988</c:v>
                </c:pt>
                <c:pt idx="29">
                  <c:v>0.11539748004368822</c:v>
                </c:pt>
                <c:pt idx="30">
                  <c:v>0.11562170300799834</c:v>
                </c:pt>
                <c:pt idx="31">
                  <c:v>0.11607014893661857</c:v>
                </c:pt>
                <c:pt idx="32">
                  <c:v>0.118007435348258</c:v>
                </c:pt>
                <c:pt idx="33">
                  <c:v>0.12299415407451503</c:v>
                </c:pt>
                <c:pt idx="34">
                  <c:v>0.12333497298026641</c:v>
                </c:pt>
                <c:pt idx="35">
                  <c:v>0.12532607290334027</c:v>
                </c:pt>
                <c:pt idx="36">
                  <c:v>0.12546957560049873</c:v>
                </c:pt>
                <c:pt idx="37">
                  <c:v>0.12566689180909166</c:v>
                </c:pt>
                <c:pt idx="38">
                  <c:v>0.12799881063791688</c:v>
                </c:pt>
                <c:pt idx="39">
                  <c:v>0.12843828764796472</c:v>
                </c:pt>
                <c:pt idx="40">
                  <c:v>0.13055495243105225</c:v>
                </c:pt>
                <c:pt idx="41">
                  <c:v>0.13092267809252084</c:v>
                </c:pt>
                <c:pt idx="42">
                  <c:v>0.13094958484823804</c:v>
                </c:pt>
                <c:pt idx="43">
                  <c:v>0.14078848852216605</c:v>
                </c:pt>
                <c:pt idx="44">
                  <c:v>0.1435240086867495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177-433A-90CA-4643F74F6F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1116152"/>
        <c:axId val="1"/>
      </c:scatterChart>
      <c:valAx>
        <c:axId val="52111615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562532808398953"/>
              <c:y val="0.886795094009475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3124999999999999E-2"/>
              <c:y val="0.4245296224764357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21116152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9375016404199474"/>
          <c:y val="0.9088076726258274"/>
          <c:w val="0.66718799212598434"/>
          <c:h val="6.28934119084171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104775</xdr:colOff>
      <xdr:row>0</xdr:row>
      <xdr:rowOff>0</xdr:rowOff>
    </xdr:from>
    <xdr:to>
      <xdr:col>16</xdr:col>
      <xdr:colOff>609600</xdr:colOff>
      <xdr:row>18</xdr:row>
      <xdr:rowOff>19050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E7A88DA8-295E-12AF-A883-0D602428CA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konkoly.hu/cgi-bin/IBVS?6114" TargetMode="External"/><Relationship Id="rId13" Type="http://schemas.openxmlformats.org/officeDocument/2006/relationships/hyperlink" Target="http://vsolj.cetus-net.org/no46.pdf" TargetMode="External"/><Relationship Id="rId3" Type="http://schemas.openxmlformats.org/officeDocument/2006/relationships/hyperlink" Target="http://www.konkoly.hu/cgi-bin/IBVS?6007" TargetMode="External"/><Relationship Id="rId7" Type="http://schemas.openxmlformats.org/officeDocument/2006/relationships/hyperlink" Target="http://www.konkoly.hu/cgi-bin/IBVS?6114" TargetMode="External"/><Relationship Id="rId12" Type="http://schemas.openxmlformats.org/officeDocument/2006/relationships/hyperlink" Target="http://vsolj.cetus-net.org/no46.pdf" TargetMode="External"/><Relationship Id="rId2" Type="http://schemas.openxmlformats.org/officeDocument/2006/relationships/hyperlink" Target="http://www.konkoly.hu/cgi-bin/IBVS?6007" TargetMode="External"/><Relationship Id="rId1" Type="http://schemas.openxmlformats.org/officeDocument/2006/relationships/hyperlink" Target="http://www.konkoly.hu/cgi-bin/IBVS?5690" TargetMode="External"/><Relationship Id="rId6" Type="http://schemas.openxmlformats.org/officeDocument/2006/relationships/hyperlink" Target="http://www.konkoly.hu/cgi-bin/IBVS?6007" TargetMode="External"/><Relationship Id="rId11" Type="http://schemas.openxmlformats.org/officeDocument/2006/relationships/hyperlink" Target="http://www.konkoly.hu/cgi-bin/IBVS?5694" TargetMode="External"/><Relationship Id="rId5" Type="http://schemas.openxmlformats.org/officeDocument/2006/relationships/hyperlink" Target="http://www.konkoly.hu/cgi-bin/IBVS?6007" TargetMode="External"/><Relationship Id="rId15" Type="http://schemas.openxmlformats.org/officeDocument/2006/relationships/hyperlink" Target="http://vsolj.cetus-net.org/no48.pdf" TargetMode="External"/><Relationship Id="rId10" Type="http://schemas.openxmlformats.org/officeDocument/2006/relationships/hyperlink" Target="http://www.konkoly.hu/cgi-bin/IBVS?6114" TargetMode="External"/><Relationship Id="rId4" Type="http://schemas.openxmlformats.org/officeDocument/2006/relationships/hyperlink" Target="http://www.konkoly.hu/cgi-bin/IBVS?6007" TargetMode="External"/><Relationship Id="rId9" Type="http://schemas.openxmlformats.org/officeDocument/2006/relationships/hyperlink" Target="http://www.konkoly.hu/cgi-bin/IBVS?6114" TargetMode="External"/><Relationship Id="rId14" Type="http://schemas.openxmlformats.org/officeDocument/2006/relationships/hyperlink" Target="http://vsolj.cetus-net.org/no4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67"/>
  <sheetViews>
    <sheetView tabSelected="1" workbookViewId="0">
      <pane xSplit="14" ySplit="22" topLeftCell="O47" activePane="bottomRight" state="frozen"/>
      <selection pane="topRight" activeCell="O1" sqref="O1"/>
      <selection pane="bottomLeft" activeCell="A23" sqref="A23"/>
      <selection pane="bottomRight" activeCell="E9" sqref="E9"/>
    </sheetView>
  </sheetViews>
  <sheetFormatPr defaultColWidth="10.28515625" defaultRowHeight="12.75" x14ac:dyDescent="0.2"/>
  <cols>
    <col min="1" max="1" width="14.42578125" style="1" customWidth="1"/>
    <col min="2" max="2" width="5.140625" style="1" customWidth="1"/>
    <col min="3" max="3" width="11.85546875" style="1" customWidth="1"/>
    <col min="4" max="4" width="9.42578125" style="1" customWidth="1"/>
    <col min="5" max="5" width="9.85546875" style="1" customWidth="1"/>
    <col min="6" max="6" width="16.85546875" style="1" customWidth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1" customWidth="1"/>
    <col min="18" max="16384" width="10.28515625" style="1"/>
  </cols>
  <sheetData>
    <row r="1" spans="1:6" ht="20.25" x14ac:dyDescent="0.3">
      <c r="A1" s="2" t="s">
        <v>0</v>
      </c>
    </row>
    <row r="2" spans="1:6" x14ac:dyDescent="0.2">
      <c r="A2" s="1" t="s">
        <v>1</v>
      </c>
      <c r="B2" s="3" t="s">
        <v>2</v>
      </c>
    </row>
    <row r="4" spans="1:6" x14ac:dyDescent="0.2">
      <c r="A4" s="4" t="s">
        <v>3</v>
      </c>
      <c r="C4" s="5">
        <v>38796.525000000001</v>
      </c>
      <c r="D4" s="6">
        <v>1.31548</v>
      </c>
    </row>
    <row r="5" spans="1:6" x14ac:dyDescent="0.2">
      <c r="A5" s="7" t="s">
        <v>4</v>
      </c>
      <c r="B5"/>
      <c r="C5" s="8">
        <v>-9.5</v>
      </c>
      <c r="D5" t="s">
        <v>5</v>
      </c>
    </row>
    <row r="6" spans="1:6" x14ac:dyDescent="0.2">
      <c r="A6" s="4" t="s">
        <v>6</v>
      </c>
    </row>
    <row r="7" spans="1:6" x14ac:dyDescent="0.2">
      <c r="A7" s="1" t="s">
        <v>7</v>
      </c>
      <c r="C7" s="1">
        <f>+C4</f>
        <v>38796.525000000001</v>
      </c>
    </row>
    <row r="8" spans="1:6" x14ac:dyDescent="0.2">
      <c r="A8" s="1" t="s">
        <v>8</v>
      </c>
      <c r="C8" s="1">
        <f>+D4</f>
        <v>1.31548</v>
      </c>
    </row>
    <row r="9" spans="1:6" x14ac:dyDescent="0.2">
      <c r="A9" s="9" t="s">
        <v>9</v>
      </c>
      <c r="B9" s="10">
        <v>22</v>
      </c>
      <c r="C9" s="11" t="str">
        <f>"F"&amp;B9</f>
        <v>F22</v>
      </c>
      <c r="D9" s="12" t="str">
        <f>"G"&amp;B9</f>
        <v>G22</v>
      </c>
    </row>
    <row r="10" spans="1:6" x14ac:dyDescent="0.2">
      <c r="A10"/>
      <c r="B10"/>
      <c r="C10" s="13" t="s">
        <v>10</v>
      </c>
      <c r="D10" s="13" t="s">
        <v>11</v>
      </c>
      <c r="E10"/>
    </row>
    <row r="11" spans="1:6" x14ac:dyDescent="0.2">
      <c r="A11" t="s">
        <v>12</v>
      </c>
      <c r="B11"/>
      <c r="C11" s="14">
        <f ca="1">INTERCEPT(INDIRECT($D$9):G992,INDIRECT($C$9):F992)</f>
        <v>1.0757107059442002E-2</v>
      </c>
      <c r="D11" s="15"/>
      <c r="E11"/>
    </row>
    <row r="12" spans="1:6" x14ac:dyDescent="0.2">
      <c r="A12" t="s">
        <v>13</v>
      </c>
      <c r="B12"/>
      <c r="C12" s="14">
        <f ca="1">SLOPE(INDIRECT($D$9):G992,INDIRECT($C$9):F992)</f>
        <v>8.9689185724047494E-6</v>
      </c>
      <c r="D12" s="15"/>
      <c r="E12"/>
    </row>
    <row r="13" spans="1:6" x14ac:dyDescent="0.2">
      <c r="A13" t="s">
        <v>14</v>
      </c>
      <c r="B13"/>
      <c r="C13" s="15" t="s">
        <v>15</v>
      </c>
    </row>
    <row r="14" spans="1:6" x14ac:dyDescent="0.2">
      <c r="A14"/>
      <c r="B14"/>
      <c r="C14"/>
    </row>
    <row r="15" spans="1:6" x14ac:dyDescent="0.2">
      <c r="A15" s="16" t="s">
        <v>16</v>
      </c>
      <c r="B15"/>
      <c r="C15" s="17">
        <f ca="1">(C7+C11)+(C8+C12)*INT(MAX(F21:F3533))</f>
        <v>59761.483454762354</v>
      </c>
      <c r="E15" s="9" t="s">
        <v>17</v>
      </c>
      <c r="F15" s="8">
        <v>1</v>
      </c>
    </row>
    <row r="16" spans="1:6" x14ac:dyDescent="0.2">
      <c r="A16" s="16" t="s">
        <v>18</v>
      </c>
      <c r="B16"/>
      <c r="C16" s="17">
        <f ca="1">+C8+C12</f>
        <v>1.3154889689185725</v>
      </c>
      <c r="E16" s="9" t="s">
        <v>19</v>
      </c>
      <c r="F16" s="14">
        <f ca="1">NOW()+15018.5+$C$5/24</f>
        <v>60378.781250578701</v>
      </c>
    </row>
    <row r="17" spans="1:17" x14ac:dyDescent="0.2">
      <c r="A17" s="9" t="s">
        <v>20</v>
      </c>
      <c r="B17"/>
      <c r="C17">
        <f>COUNT(C21:C2191)</f>
        <v>47</v>
      </c>
      <c r="E17" s="9" t="s">
        <v>21</v>
      </c>
      <c r="F17" s="14">
        <f ca="1">ROUND(2*(F16-$C$7)/$C$8,0)/2+F15</f>
        <v>16407.5</v>
      </c>
    </row>
    <row r="18" spans="1:17" x14ac:dyDescent="0.2">
      <c r="A18" s="16" t="s">
        <v>22</v>
      </c>
      <c r="B18"/>
      <c r="C18" s="18">
        <f ca="1">+C15</f>
        <v>59761.483454762354</v>
      </c>
      <c r="D18" s="19">
        <f ca="1">+C16</f>
        <v>1.3154889689185725</v>
      </c>
      <c r="E18" s="9" t="s">
        <v>23</v>
      </c>
      <c r="F18" s="12">
        <f ca="1">ROUND(2*(F16-$C$15)/$C$16,0)/2+F15</f>
        <v>470.5</v>
      </c>
    </row>
    <row r="19" spans="1:17" x14ac:dyDescent="0.2">
      <c r="E19" s="9" t="s">
        <v>24</v>
      </c>
      <c r="F19" s="20">
        <f ca="1">+$C$15+$C$16*F18-15018.5-$C$5/24</f>
        <v>45362.316847971881</v>
      </c>
    </row>
    <row r="20" spans="1:17" x14ac:dyDescent="0.2">
      <c r="A20" s="13" t="s">
        <v>25</v>
      </c>
      <c r="B20" s="13" t="s">
        <v>26</v>
      </c>
      <c r="C20" s="13" t="s">
        <v>27</v>
      </c>
      <c r="D20" s="13" t="s">
        <v>28</v>
      </c>
      <c r="E20" s="13" t="s">
        <v>29</v>
      </c>
      <c r="F20" s="13" t="s">
        <v>30</v>
      </c>
      <c r="G20" s="13" t="s">
        <v>31</v>
      </c>
      <c r="H20" s="21" t="s">
        <v>32</v>
      </c>
      <c r="I20" s="21" t="s">
        <v>33</v>
      </c>
      <c r="J20" s="21" t="s">
        <v>34</v>
      </c>
      <c r="K20" s="21" t="s">
        <v>35</v>
      </c>
      <c r="L20" s="21" t="s">
        <v>36</v>
      </c>
      <c r="M20" s="21" t="s">
        <v>37</v>
      </c>
      <c r="N20" s="21" t="s">
        <v>38</v>
      </c>
      <c r="O20" s="21" t="s">
        <v>39</v>
      </c>
      <c r="P20" s="21" t="s">
        <v>40</v>
      </c>
      <c r="Q20" s="13" t="s">
        <v>41</v>
      </c>
    </row>
    <row r="21" spans="1:17" x14ac:dyDescent="0.2">
      <c r="A21" s="22" t="s">
        <v>42</v>
      </c>
      <c r="B21" s="23" t="s">
        <v>43</v>
      </c>
      <c r="C21" s="24">
        <v>29805.223000000002</v>
      </c>
      <c r="D21" s="25"/>
      <c r="E21" s="26">
        <f t="shared" ref="E21:E51" si="0">+(C21-C$7)/C$8</f>
        <v>-6834.997111320582</v>
      </c>
      <c r="F21" s="1">
        <f t="shared" ref="F21:F51" si="1">ROUND(2*E21,0)/2</f>
        <v>-6835</v>
      </c>
      <c r="G21" s="1">
        <f t="shared" ref="G21:G51" si="2">+C21-(C$7+F21*C$8)</f>
        <v>3.8000000022293534E-3</v>
      </c>
      <c r="H21" s="1">
        <f t="shared" ref="H21:H41" si="3">+G21</f>
        <v>3.8000000022293534E-3</v>
      </c>
      <c r="O21" s="1">
        <f t="shared" ref="O21:O51" ca="1" si="4">+C$11+C$12*F21</f>
        <v>-5.0545451382944459E-2</v>
      </c>
      <c r="Q21" s="55">
        <f t="shared" ref="Q21:Q51" si="5">+C21-15018.5</f>
        <v>14786.723000000002</v>
      </c>
    </row>
    <row r="22" spans="1:17" x14ac:dyDescent="0.2">
      <c r="A22" s="22" t="s">
        <v>42</v>
      </c>
      <c r="B22" s="23" t="s">
        <v>43</v>
      </c>
      <c r="C22" s="24">
        <v>30089.342000000001</v>
      </c>
      <c r="D22" s="25"/>
      <c r="E22" s="26">
        <f t="shared" si="0"/>
        <v>-6619.0158725332203</v>
      </c>
      <c r="F22" s="1">
        <f t="shared" si="1"/>
        <v>-6619</v>
      </c>
      <c r="G22" s="1">
        <f t="shared" si="2"/>
        <v>-2.088000000003376E-2</v>
      </c>
      <c r="H22" s="1">
        <f t="shared" si="3"/>
        <v>-2.088000000003376E-2</v>
      </c>
      <c r="O22" s="1">
        <f t="shared" ca="1" si="4"/>
        <v>-4.8608164971305032E-2</v>
      </c>
      <c r="Q22" s="55">
        <f t="shared" si="5"/>
        <v>15070.842000000001</v>
      </c>
    </row>
    <row r="23" spans="1:17" x14ac:dyDescent="0.2">
      <c r="A23" s="22" t="s">
        <v>42</v>
      </c>
      <c r="B23" s="23" t="s">
        <v>43</v>
      </c>
      <c r="C23" s="24">
        <v>31252.201000000001</v>
      </c>
      <c r="D23" s="25"/>
      <c r="E23" s="26">
        <f t="shared" si="0"/>
        <v>-5735.035120260286</v>
      </c>
      <c r="F23" s="1">
        <f t="shared" si="1"/>
        <v>-5735</v>
      </c>
      <c r="G23" s="1">
        <f t="shared" si="2"/>
        <v>-4.620000000068103E-2</v>
      </c>
      <c r="H23" s="1">
        <f t="shared" si="3"/>
        <v>-4.620000000068103E-2</v>
      </c>
      <c r="O23" s="1">
        <f t="shared" ca="1" si="4"/>
        <v>-4.0679640953299234E-2</v>
      </c>
      <c r="Q23" s="55">
        <f t="shared" si="5"/>
        <v>16233.701000000001</v>
      </c>
    </row>
    <row r="24" spans="1:17" x14ac:dyDescent="0.2">
      <c r="A24" s="22" t="s">
        <v>42</v>
      </c>
      <c r="B24" s="23" t="s">
        <v>43</v>
      </c>
      <c r="C24" s="24">
        <v>32678.207999999999</v>
      </c>
      <c r="D24" s="25"/>
      <c r="E24" s="26">
        <f t="shared" si="0"/>
        <v>-4651.0148386900619</v>
      </c>
      <c r="F24" s="1">
        <f t="shared" si="1"/>
        <v>-4651</v>
      </c>
      <c r="G24" s="1">
        <f t="shared" si="2"/>
        <v>-1.9520000001648441E-2</v>
      </c>
      <c r="H24" s="1">
        <f t="shared" si="3"/>
        <v>-1.9520000001648441E-2</v>
      </c>
      <c r="O24" s="1">
        <f t="shared" ca="1" si="4"/>
        <v>-3.095733322081249E-2</v>
      </c>
      <c r="Q24" s="55">
        <f t="shared" si="5"/>
        <v>17659.707999999999</v>
      </c>
    </row>
    <row r="25" spans="1:17" x14ac:dyDescent="0.2">
      <c r="A25" s="22" t="s">
        <v>42</v>
      </c>
      <c r="B25" s="23" t="s">
        <v>43</v>
      </c>
      <c r="C25" s="24">
        <v>33358.330999999998</v>
      </c>
      <c r="D25" s="25"/>
      <c r="E25" s="26">
        <f t="shared" si="0"/>
        <v>-4133.9997567427881</v>
      </c>
      <c r="F25" s="1">
        <f t="shared" si="1"/>
        <v>-4134</v>
      </c>
      <c r="G25" s="1">
        <f t="shared" si="2"/>
        <v>3.1999999919207767E-4</v>
      </c>
      <c r="H25" s="1">
        <f t="shared" si="3"/>
        <v>3.1999999919207767E-4</v>
      </c>
      <c r="O25" s="1">
        <f t="shared" ca="1" si="4"/>
        <v>-2.6320402318879235E-2</v>
      </c>
      <c r="Q25" s="55">
        <f t="shared" si="5"/>
        <v>18339.830999999998</v>
      </c>
    </row>
    <row r="26" spans="1:17" x14ac:dyDescent="0.2">
      <c r="A26" s="22" t="s">
        <v>42</v>
      </c>
      <c r="B26" s="23" t="s">
        <v>43</v>
      </c>
      <c r="C26" s="24">
        <v>33746.360999999997</v>
      </c>
      <c r="D26" s="25"/>
      <c r="E26" s="26">
        <f t="shared" si="0"/>
        <v>-3839.0275792866514</v>
      </c>
      <c r="F26" s="1">
        <f t="shared" si="1"/>
        <v>-3839</v>
      </c>
      <c r="G26" s="1">
        <f t="shared" si="2"/>
        <v>-3.6280000007536728E-2</v>
      </c>
      <c r="H26" s="1">
        <f t="shared" si="3"/>
        <v>-3.6280000007536728E-2</v>
      </c>
      <c r="O26" s="1">
        <f t="shared" ca="1" si="4"/>
        <v>-2.367457134001983E-2</v>
      </c>
      <c r="Q26" s="55">
        <f t="shared" si="5"/>
        <v>18727.860999999997</v>
      </c>
    </row>
    <row r="27" spans="1:17" x14ac:dyDescent="0.2">
      <c r="A27" s="22" t="s">
        <v>42</v>
      </c>
      <c r="B27" s="23" t="s">
        <v>43</v>
      </c>
      <c r="C27" s="24">
        <v>34542.216</v>
      </c>
      <c r="D27" s="25"/>
      <c r="E27" s="26">
        <f t="shared" si="0"/>
        <v>-3234.035485146107</v>
      </c>
      <c r="F27" s="1">
        <f t="shared" si="1"/>
        <v>-3234</v>
      </c>
      <c r="G27" s="1">
        <f t="shared" si="2"/>
        <v>-4.6679999999469146E-2</v>
      </c>
      <c r="H27" s="1">
        <f t="shared" si="3"/>
        <v>-4.6679999999469146E-2</v>
      </c>
      <c r="O27" s="1">
        <f t="shared" ca="1" si="4"/>
        <v>-1.8248375603714957E-2</v>
      </c>
      <c r="Q27" s="55">
        <f t="shared" si="5"/>
        <v>19523.716</v>
      </c>
    </row>
    <row r="28" spans="1:17" x14ac:dyDescent="0.2">
      <c r="A28" s="22" t="s">
        <v>42</v>
      </c>
      <c r="B28" s="23" t="s">
        <v>43</v>
      </c>
      <c r="C28" s="24">
        <v>35251.25</v>
      </c>
      <c r="D28" s="25"/>
      <c r="E28" s="26">
        <f t="shared" si="0"/>
        <v>-2695.0428740839857</v>
      </c>
      <c r="F28" s="1">
        <f t="shared" si="1"/>
        <v>-2695</v>
      </c>
      <c r="G28" s="1">
        <f t="shared" si="2"/>
        <v>-5.6400000001303852E-2</v>
      </c>
      <c r="H28" s="1">
        <f t="shared" si="3"/>
        <v>-5.6400000001303852E-2</v>
      </c>
      <c r="O28" s="1">
        <f t="shared" ca="1" si="4"/>
        <v>-1.3414128493188796E-2</v>
      </c>
      <c r="Q28" s="55">
        <f t="shared" si="5"/>
        <v>20232.75</v>
      </c>
    </row>
    <row r="29" spans="1:17" x14ac:dyDescent="0.2">
      <c r="A29" s="22" t="s">
        <v>42</v>
      </c>
      <c r="B29" s="23" t="s">
        <v>43</v>
      </c>
      <c r="C29" s="24">
        <v>35601.231</v>
      </c>
      <c r="D29" s="25"/>
      <c r="E29" s="26">
        <f t="shared" si="0"/>
        <v>-2428.9947395627464</v>
      </c>
      <c r="F29" s="1">
        <f t="shared" si="1"/>
        <v>-2429</v>
      </c>
      <c r="G29" s="1">
        <f t="shared" si="2"/>
        <v>6.9199999998090789E-3</v>
      </c>
      <c r="H29" s="1">
        <f t="shared" si="3"/>
        <v>6.9199999998090789E-3</v>
      </c>
      <c r="O29" s="1">
        <f t="shared" ca="1" si="4"/>
        <v>-1.1028396152929134E-2</v>
      </c>
      <c r="Q29" s="55">
        <f t="shared" si="5"/>
        <v>20582.731</v>
      </c>
    </row>
    <row r="30" spans="1:17" x14ac:dyDescent="0.2">
      <c r="A30" s="22" t="s">
        <v>42</v>
      </c>
      <c r="B30" s="23" t="s">
        <v>43</v>
      </c>
      <c r="C30" s="24">
        <v>36335.256000000001</v>
      </c>
      <c r="D30" s="25"/>
      <c r="E30" s="26">
        <f t="shared" si="0"/>
        <v>-1871.0045002584609</v>
      </c>
      <c r="F30" s="1">
        <f t="shared" si="1"/>
        <v>-1871</v>
      </c>
      <c r="G30" s="1">
        <f t="shared" si="2"/>
        <v>-5.9200000032433309E-3</v>
      </c>
      <c r="H30" s="1">
        <f t="shared" si="3"/>
        <v>-5.9200000032433309E-3</v>
      </c>
      <c r="O30" s="1">
        <f t="shared" ca="1" si="4"/>
        <v>-6.0237395895272848E-3</v>
      </c>
      <c r="Q30" s="55">
        <f t="shared" si="5"/>
        <v>21316.756000000001</v>
      </c>
    </row>
    <row r="31" spans="1:17" x14ac:dyDescent="0.2">
      <c r="A31" s="22" t="s">
        <v>42</v>
      </c>
      <c r="B31" s="23" t="s">
        <v>43</v>
      </c>
      <c r="C31" s="24">
        <v>36364.226000000002</v>
      </c>
      <c r="D31" s="25"/>
      <c r="E31" s="26">
        <f t="shared" si="0"/>
        <v>-1848.9821205947633</v>
      </c>
      <c r="F31" s="1">
        <f t="shared" si="1"/>
        <v>-1849</v>
      </c>
      <c r="G31" s="1">
        <f t="shared" si="2"/>
        <v>2.3520000002463348E-2</v>
      </c>
      <c r="H31" s="1">
        <f t="shared" si="3"/>
        <v>2.3520000002463348E-2</v>
      </c>
      <c r="O31" s="1">
        <f t="shared" ca="1" si="4"/>
        <v>-5.8264233809343785E-3</v>
      </c>
      <c r="Q31" s="55">
        <f t="shared" si="5"/>
        <v>21345.726000000002</v>
      </c>
    </row>
    <row r="32" spans="1:17" x14ac:dyDescent="0.2">
      <c r="A32" s="1" t="s">
        <v>44</v>
      </c>
      <c r="C32" s="25">
        <v>38796.525000000001</v>
      </c>
      <c r="D32" s="25" t="s">
        <v>15</v>
      </c>
      <c r="E32" s="1">
        <f t="shared" si="0"/>
        <v>0</v>
      </c>
      <c r="F32" s="1">
        <f t="shared" si="1"/>
        <v>0</v>
      </c>
      <c r="G32" s="1">
        <f t="shared" si="2"/>
        <v>0</v>
      </c>
      <c r="H32" s="1">
        <f t="shared" si="3"/>
        <v>0</v>
      </c>
      <c r="O32" s="1">
        <f t="shared" ca="1" si="4"/>
        <v>1.0757107059442002E-2</v>
      </c>
      <c r="Q32" s="55">
        <f t="shared" si="5"/>
        <v>23778.025000000001</v>
      </c>
    </row>
    <row r="33" spans="1:30" x14ac:dyDescent="0.2">
      <c r="A33" s="22" t="s">
        <v>42</v>
      </c>
      <c r="B33" s="23" t="s">
        <v>43</v>
      </c>
      <c r="C33" s="24">
        <v>38796.542000000001</v>
      </c>
      <c r="D33" s="25"/>
      <c r="E33" s="26">
        <f t="shared" si="0"/>
        <v>1.2923039498757394E-2</v>
      </c>
      <c r="F33" s="1">
        <f t="shared" si="1"/>
        <v>0</v>
      </c>
      <c r="G33" s="1">
        <f t="shared" si="2"/>
        <v>1.6999999999825377E-2</v>
      </c>
      <c r="H33" s="1">
        <f t="shared" si="3"/>
        <v>1.6999999999825377E-2</v>
      </c>
      <c r="O33" s="1">
        <f t="shared" ca="1" si="4"/>
        <v>1.0757107059442002E-2</v>
      </c>
      <c r="Q33" s="55">
        <f t="shared" si="5"/>
        <v>23778.042000000001</v>
      </c>
    </row>
    <row r="34" spans="1:30" x14ac:dyDescent="0.2">
      <c r="A34" s="22" t="s">
        <v>42</v>
      </c>
      <c r="B34" s="23" t="s">
        <v>43</v>
      </c>
      <c r="C34" s="24">
        <v>38829.440999999999</v>
      </c>
      <c r="D34" s="25"/>
      <c r="E34" s="26">
        <f t="shared" si="0"/>
        <v>25.022045185025572</v>
      </c>
      <c r="F34" s="1">
        <f t="shared" si="1"/>
        <v>25</v>
      </c>
      <c r="G34" s="1">
        <f t="shared" si="2"/>
        <v>2.8999999994994141E-2</v>
      </c>
      <c r="H34" s="1">
        <f t="shared" si="3"/>
        <v>2.8999999994994141E-2</v>
      </c>
      <c r="O34" s="1">
        <f t="shared" ca="1" si="4"/>
        <v>1.0981330023752121E-2</v>
      </c>
      <c r="Q34" s="55">
        <f t="shared" si="5"/>
        <v>23810.940999999999</v>
      </c>
    </row>
    <row r="35" spans="1:30" x14ac:dyDescent="0.2">
      <c r="A35" s="22" t="s">
        <v>42</v>
      </c>
      <c r="B35" s="23" t="s">
        <v>43</v>
      </c>
      <c r="C35" s="24">
        <v>38858.410000000003</v>
      </c>
      <c r="D35" s="25"/>
      <c r="E35" s="26">
        <f t="shared" si="0"/>
        <v>47.043664669931914</v>
      </c>
      <c r="F35" s="1">
        <f t="shared" si="1"/>
        <v>47</v>
      </c>
      <c r="G35" s="1">
        <f t="shared" si="2"/>
        <v>5.7440000004135072E-2</v>
      </c>
      <c r="H35" s="1">
        <f t="shared" si="3"/>
        <v>5.7440000004135072E-2</v>
      </c>
      <c r="O35" s="1">
        <f t="shared" ca="1" si="4"/>
        <v>1.1178646232345026E-2</v>
      </c>
      <c r="Q35" s="55">
        <f t="shared" si="5"/>
        <v>23839.910000000003</v>
      </c>
    </row>
    <row r="36" spans="1:30" x14ac:dyDescent="0.2">
      <c r="A36" s="22" t="s">
        <v>42</v>
      </c>
      <c r="B36" s="23" t="s">
        <v>43</v>
      </c>
      <c r="C36" s="24">
        <v>38879.362000000001</v>
      </c>
      <c r="D36" s="25"/>
      <c r="E36" s="26">
        <f t="shared" si="0"/>
        <v>62.970930762915081</v>
      </c>
      <c r="F36" s="1">
        <f t="shared" si="1"/>
        <v>63</v>
      </c>
      <c r="G36" s="1">
        <f t="shared" si="2"/>
        <v>-3.8240000001678709E-2</v>
      </c>
      <c r="H36" s="1">
        <f t="shared" si="3"/>
        <v>-3.8240000001678709E-2</v>
      </c>
      <c r="O36" s="1">
        <f t="shared" ca="1" si="4"/>
        <v>1.1322148929503501E-2</v>
      </c>
      <c r="Q36" s="55">
        <f t="shared" si="5"/>
        <v>23860.862000000001</v>
      </c>
    </row>
    <row r="37" spans="1:30" x14ac:dyDescent="0.2">
      <c r="A37" s="22" t="s">
        <v>42</v>
      </c>
      <c r="B37" s="23" t="s">
        <v>43</v>
      </c>
      <c r="C37" s="24">
        <v>38883.356</v>
      </c>
      <c r="D37" s="25"/>
      <c r="E37" s="26">
        <f t="shared" si="0"/>
        <v>66.007084866359293</v>
      </c>
      <c r="F37" s="1">
        <f t="shared" si="1"/>
        <v>66</v>
      </c>
      <c r="G37" s="1">
        <f t="shared" si="2"/>
        <v>9.3199999973876402E-3</v>
      </c>
      <c r="H37" s="1">
        <f t="shared" si="3"/>
        <v>9.3199999973876402E-3</v>
      </c>
      <c r="O37" s="1">
        <f t="shared" ca="1" si="4"/>
        <v>1.1349055685220715E-2</v>
      </c>
      <c r="Q37" s="55">
        <f t="shared" si="5"/>
        <v>23864.856</v>
      </c>
    </row>
    <row r="38" spans="1:30" x14ac:dyDescent="0.2">
      <c r="A38" s="22" t="s">
        <v>42</v>
      </c>
      <c r="B38" s="23" t="s">
        <v>43</v>
      </c>
      <c r="C38" s="24">
        <v>38912.283000000003</v>
      </c>
      <c r="D38" s="25"/>
      <c r="E38" s="26">
        <f t="shared" si="0"/>
        <v>87.996776841914453</v>
      </c>
      <c r="F38" s="1">
        <f t="shared" si="1"/>
        <v>88</v>
      </c>
      <c r="G38" s="1">
        <f t="shared" si="2"/>
        <v>-4.2399999947519973E-3</v>
      </c>
      <c r="H38" s="1">
        <f t="shared" si="3"/>
        <v>-4.2399999947519973E-3</v>
      </c>
      <c r="O38" s="1">
        <f t="shared" ca="1" si="4"/>
        <v>1.154637189381362E-2</v>
      </c>
      <c r="Q38" s="55">
        <f t="shared" si="5"/>
        <v>23893.783000000003</v>
      </c>
    </row>
    <row r="39" spans="1:30" x14ac:dyDescent="0.2">
      <c r="A39" s="22" t="s">
        <v>42</v>
      </c>
      <c r="B39" s="23" t="s">
        <v>43</v>
      </c>
      <c r="C39" s="24">
        <v>38937.271999999997</v>
      </c>
      <c r="D39" s="25"/>
      <c r="E39" s="26">
        <f t="shared" si="0"/>
        <v>106.99288472648445</v>
      </c>
      <c r="F39" s="1">
        <f t="shared" si="1"/>
        <v>107</v>
      </c>
      <c r="G39" s="1">
        <f t="shared" si="2"/>
        <v>-9.3600000036531128E-3</v>
      </c>
      <c r="H39" s="1">
        <f t="shared" si="3"/>
        <v>-9.3600000036531128E-3</v>
      </c>
      <c r="O39" s="1">
        <f t="shared" ca="1" si="4"/>
        <v>1.171678134668931E-2</v>
      </c>
      <c r="Q39" s="55">
        <f t="shared" si="5"/>
        <v>23918.771999999997</v>
      </c>
    </row>
    <row r="40" spans="1:30" x14ac:dyDescent="0.2">
      <c r="A40" s="22" t="s">
        <v>42</v>
      </c>
      <c r="B40" s="23" t="s">
        <v>43</v>
      </c>
      <c r="C40" s="24">
        <v>38941.218999999997</v>
      </c>
      <c r="D40" s="25"/>
      <c r="E40" s="26">
        <f t="shared" si="0"/>
        <v>109.9933104266092</v>
      </c>
      <c r="F40" s="1">
        <f t="shared" si="1"/>
        <v>110</v>
      </c>
      <c r="G40" s="1">
        <f t="shared" si="2"/>
        <v>-8.8000000032479875E-3</v>
      </c>
      <c r="H40" s="1">
        <f t="shared" si="3"/>
        <v>-8.8000000032479875E-3</v>
      </c>
      <c r="O40" s="1">
        <f t="shared" ca="1" si="4"/>
        <v>1.1743688102406525E-2</v>
      </c>
      <c r="Q40" s="55">
        <f t="shared" si="5"/>
        <v>23922.718999999997</v>
      </c>
    </row>
    <row r="41" spans="1:30" x14ac:dyDescent="0.2">
      <c r="A41" s="22" t="s">
        <v>42</v>
      </c>
      <c r="B41" s="23" t="s">
        <v>43</v>
      </c>
      <c r="C41" s="24">
        <v>38966.192000000003</v>
      </c>
      <c r="D41" s="25"/>
      <c r="E41" s="26">
        <f t="shared" si="0"/>
        <v>128.97725545048291</v>
      </c>
      <c r="F41" s="1">
        <f t="shared" si="1"/>
        <v>129</v>
      </c>
      <c r="G41" s="1">
        <f t="shared" si="2"/>
        <v>-2.9920000000856817E-2</v>
      </c>
      <c r="H41" s="1">
        <f t="shared" si="3"/>
        <v>-2.9920000000856817E-2</v>
      </c>
      <c r="O41" s="1">
        <f t="shared" ca="1" si="4"/>
        <v>1.1914097555282215E-2</v>
      </c>
      <c r="Q41" s="55">
        <f t="shared" si="5"/>
        <v>23947.692000000003</v>
      </c>
    </row>
    <row r="42" spans="1:30" x14ac:dyDescent="0.2">
      <c r="A42" s="22" t="s">
        <v>45</v>
      </c>
      <c r="B42" s="23" t="s">
        <v>43</v>
      </c>
      <c r="C42" s="24">
        <v>42191.795899999997</v>
      </c>
      <c r="D42" s="25"/>
      <c r="E42" s="26">
        <f t="shared" si="0"/>
        <v>2581.0129382430719</v>
      </c>
      <c r="F42" s="1">
        <f t="shared" si="1"/>
        <v>2581</v>
      </c>
      <c r="G42" s="1">
        <f t="shared" si="2"/>
        <v>1.7019999999320135E-2</v>
      </c>
      <c r="J42" s="1">
        <f>+G42</f>
        <v>1.7019999999320135E-2</v>
      </c>
      <c r="O42" s="1">
        <f t="shared" ca="1" si="4"/>
        <v>3.390588589481866E-2</v>
      </c>
      <c r="Q42" s="55">
        <f t="shared" si="5"/>
        <v>27173.295899999997</v>
      </c>
    </row>
    <row r="43" spans="1:30" x14ac:dyDescent="0.2">
      <c r="A43" s="1" t="s">
        <v>46</v>
      </c>
      <c r="C43" s="25">
        <v>44016.421000000002</v>
      </c>
      <c r="D43" s="25"/>
      <c r="E43" s="1">
        <f t="shared" si="0"/>
        <v>3968.054246358744</v>
      </c>
      <c r="F43" s="1">
        <f t="shared" si="1"/>
        <v>3968</v>
      </c>
      <c r="G43" s="1">
        <f t="shared" si="2"/>
        <v>7.136000000173226E-2</v>
      </c>
      <c r="I43" s="1">
        <f>+G43</f>
        <v>7.136000000173226E-2</v>
      </c>
      <c r="O43" s="1">
        <f t="shared" ca="1" si="4"/>
        <v>4.6345775954744046E-2</v>
      </c>
      <c r="Q43" s="55">
        <f t="shared" si="5"/>
        <v>28997.921000000002</v>
      </c>
      <c r="AA43" s="1">
        <v>20</v>
      </c>
      <c r="AB43" s="1" t="s">
        <v>47</v>
      </c>
      <c r="AD43" s="1" t="s">
        <v>48</v>
      </c>
    </row>
    <row r="44" spans="1:30" x14ac:dyDescent="0.2">
      <c r="A44" s="26" t="s">
        <v>49</v>
      </c>
      <c r="B44" s="26"/>
      <c r="C44" s="27">
        <v>50184.752</v>
      </c>
      <c r="D44" s="27"/>
      <c r="E44" s="26">
        <f t="shared" si="0"/>
        <v>8657.0886672545384</v>
      </c>
      <c r="F44" s="1">
        <f t="shared" si="1"/>
        <v>8657</v>
      </c>
      <c r="G44" s="1">
        <f t="shared" si="2"/>
        <v>0.11664000000018859</v>
      </c>
      <c r="I44" s="1">
        <f>+G44</f>
        <v>0.11664000000018859</v>
      </c>
      <c r="O44" s="1">
        <f t="shared" ca="1" si="4"/>
        <v>8.8401035140749928E-2</v>
      </c>
      <c r="Q44" s="55">
        <f t="shared" si="5"/>
        <v>35166.252</v>
      </c>
    </row>
    <row r="45" spans="1:30" x14ac:dyDescent="0.2">
      <c r="A45" s="22" t="s">
        <v>50</v>
      </c>
      <c r="B45" s="23" t="s">
        <v>43</v>
      </c>
      <c r="C45" s="24">
        <v>50184.752999999997</v>
      </c>
      <c r="D45" s="25"/>
      <c r="E45" s="26">
        <f t="shared" si="0"/>
        <v>8657.0894274333295</v>
      </c>
      <c r="F45" s="1">
        <f t="shared" si="1"/>
        <v>8657</v>
      </c>
      <c r="G45" s="1">
        <f t="shared" si="2"/>
        <v>0.11763999999675434</v>
      </c>
      <c r="I45" s="1">
        <f>+G45</f>
        <v>0.11763999999675434</v>
      </c>
      <c r="O45" s="1">
        <f t="shared" ca="1" si="4"/>
        <v>8.8401035140749928E-2</v>
      </c>
      <c r="Q45" s="55">
        <f t="shared" si="5"/>
        <v>35166.252999999997</v>
      </c>
    </row>
    <row r="46" spans="1:30" x14ac:dyDescent="0.2">
      <c r="A46" s="28" t="s">
        <v>51</v>
      </c>
      <c r="B46" s="29" t="s">
        <v>43</v>
      </c>
      <c r="C46" s="27">
        <v>50192.641000000003</v>
      </c>
      <c r="D46" s="25"/>
      <c r="E46" s="26">
        <f t="shared" si="0"/>
        <v>8663.0857177608195</v>
      </c>
      <c r="F46" s="1">
        <f t="shared" si="1"/>
        <v>8663</v>
      </c>
      <c r="G46" s="1">
        <f t="shared" si="2"/>
        <v>0.11276000000361819</v>
      </c>
      <c r="I46" s="1">
        <f>+G46</f>
        <v>0.11276000000361819</v>
      </c>
      <c r="O46" s="1">
        <f t="shared" ca="1" si="4"/>
        <v>8.8454848652184337E-2</v>
      </c>
      <c r="Q46" s="55">
        <f t="shared" si="5"/>
        <v>35174.141000000003</v>
      </c>
    </row>
    <row r="47" spans="1:30" x14ac:dyDescent="0.2">
      <c r="A47" s="22" t="s">
        <v>52</v>
      </c>
      <c r="B47" s="23" t="s">
        <v>43</v>
      </c>
      <c r="C47" s="24">
        <v>52726.2719</v>
      </c>
      <c r="D47" s="25"/>
      <c r="E47" s="26">
        <f t="shared" si="0"/>
        <v>10589.098199896614</v>
      </c>
      <c r="F47" s="1">
        <f t="shared" si="1"/>
        <v>10589</v>
      </c>
      <c r="G47" s="1">
        <f t="shared" si="2"/>
        <v>0.12917999999626772</v>
      </c>
      <c r="K47" s="1">
        <f>+G47</f>
        <v>0.12917999999626772</v>
      </c>
      <c r="O47" s="1">
        <f t="shared" ca="1" si="4"/>
        <v>0.1057289858226359</v>
      </c>
      <c r="Q47" s="55">
        <f t="shared" si="5"/>
        <v>37707.7719</v>
      </c>
    </row>
    <row r="48" spans="1:30" x14ac:dyDescent="0.2">
      <c r="A48" s="30" t="s">
        <v>53</v>
      </c>
      <c r="B48" s="31" t="s">
        <v>43</v>
      </c>
      <c r="C48" s="27">
        <v>52726.271939999999</v>
      </c>
      <c r="D48" s="27">
        <v>6.0000000000000002E-5</v>
      </c>
      <c r="E48" s="26">
        <f t="shared" si="0"/>
        <v>10589.098230303765</v>
      </c>
      <c r="F48" s="1">
        <f t="shared" si="1"/>
        <v>10589</v>
      </c>
      <c r="G48" s="1">
        <f t="shared" si="2"/>
        <v>0.12921999999525724</v>
      </c>
      <c r="K48" s="1">
        <f>+G48</f>
        <v>0.12921999999525724</v>
      </c>
      <c r="O48" s="1">
        <f t="shared" ca="1" si="4"/>
        <v>0.1057289858226359</v>
      </c>
      <c r="Q48" s="55">
        <f t="shared" si="5"/>
        <v>37707.771939999999</v>
      </c>
    </row>
    <row r="49" spans="1:17" x14ac:dyDescent="0.2">
      <c r="A49" s="32" t="s">
        <v>54</v>
      </c>
      <c r="B49" s="33" t="s">
        <v>43</v>
      </c>
      <c r="C49" s="32">
        <v>53499.758199999997</v>
      </c>
      <c r="D49" s="32">
        <v>5.0000000000000001E-4</v>
      </c>
      <c r="E49" s="26">
        <f t="shared" si="0"/>
        <v>11177.086082646634</v>
      </c>
      <c r="F49" s="1">
        <f t="shared" si="1"/>
        <v>11177</v>
      </c>
      <c r="G49" s="1">
        <f t="shared" si="2"/>
        <v>0.11323999999149237</v>
      </c>
      <c r="K49" s="1">
        <f>+G49</f>
        <v>0.11323999999149237</v>
      </c>
      <c r="O49" s="1">
        <f t="shared" ca="1" si="4"/>
        <v>0.11100270994320988</v>
      </c>
      <c r="Q49" s="55">
        <f t="shared" si="5"/>
        <v>38481.258199999997</v>
      </c>
    </row>
    <row r="50" spans="1:17" x14ac:dyDescent="0.2">
      <c r="A50" s="22" t="s">
        <v>55</v>
      </c>
      <c r="B50" s="23" t="s">
        <v>43</v>
      </c>
      <c r="C50" s="24">
        <v>54144.349399999999</v>
      </c>
      <c r="D50" s="25"/>
      <c r="E50" s="26">
        <f t="shared" si="0"/>
        <v>11667.090643719401</v>
      </c>
      <c r="F50" s="1">
        <f t="shared" si="1"/>
        <v>11667</v>
      </c>
      <c r="G50" s="1">
        <f t="shared" si="2"/>
        <v>0.11923999999999069</v>
      </c>
      <c r="K50" s="1">
        <f>+G50</f>
        <v>0.11923999999999069</v>
      </c>
      <c r="O50" s="1">
        <f t="shared" ca="1" si="4"/>
        <v>0.11539748004368822</v>
      </c>
      <c r="Q50" s="55">
        <f t="shared" si="5"/>
        <v>39125.849399999999</v>
      </c>
    </row>
    <row r="51" spans="1:17" x14ac:dyDescent="0.2">
      <c r="A51" s="22" t="s">
        <v>55</v>
      </c>
      <c r="B51" s="23" t="s">
        <v>43</v>
      </c>
      <c r="C51" s="24">
        <v>54177.241000000002</v>
      </c>
      <c r="D51" s="25"/>
      <c r="E51" s="26">
        <f t="shared" si="0"/>
        <v>11692.094140541856</v>
      </c>
      <c r="F51" s="1">
        <f t="shared" si="1"/>
        <v>11692</v>
      </c>
      <c r="G51" s="1">
        <f t="shared" si="2"/>
        <v>0.12384000000020023</v>
      </c>
      <c r="I51" s="1">
        <f>+G51</f>
        <v>0.12384000000020023</v>
      </c>
      <c r="O51" s="1">
        <f t="shared" ca="1" si="4"/>
        <v>0.11562170300799834</v>
      </c>
      <c r="Q51" s="55">
        <f t="shared" si="5"/>
        <v>39158.741000000002</v>
      </c>
    </row>
    <row r="52" spans="1:17" x14ac:dyDescent="0.2">
      <c r="A52" s="22" t="s">
        <v>55</v>
      </c>
      <c r="B52" s="23" t="s">
        <v>43</v>
      </c>
      <c r="C52" s="24">
        <v>54243.03</v>
      </c>
      <c r="D52" s="25"/>
      <c r="E52" s="26">
        <f t="shared" ref="E52:E64" si="6">+(C52-C$7)/C$8</f>
        <v>11742.105543223764</v>
      </c>
      <c r="F52" s="1">
        <f t="shared" ref="F52:F65" si="7">ROUND(2*E52,0)/2</f>
        <v>11742</v>
      </c>
      <c r="G52" s="1">
        <f t="shared" ref="G52:G64" si="8">+C52-(C$7+F52*C$8)</f>
        <v>0.13883999999961816</v>
      </c>
      <c r="I52" s="1">
        <f>+G52</f>
        <v>0.13883999999961816</v>
      </c>
      <c r="O52" s="1">
        <f t="shared" ref="O52:O64" ca="1" si="9">+C$11+C$12*F52</f>
        <v>0.11607014893661857</v>
      </c>
      <c r="Q52" s="55">
        <f t="shared" ref="Q52:Q64" si="10">+C52-15018.5</f>
        <v>39224.53</v>
      </c>
    </row>
    <row r="53" spans="1:17" x14ac:dyDescent="0.2">
      <c r="A53" s="22" t="s">
        <v>56</v>
      </c>
      <c r="B53" s="23" t="s">
        <v>43</v>
      </c>
      <c r="C53" s="24">
        <v>54527.146000000001</v>
      </c>
      <c r="D53" s="25"/>
      <c r="E53" s="26">
        <f t="shared" si="6"/>
        <v>11958.084501474747</v>
      </c>
      <c r="F53" s="1">
        <f t="shared" si="7"/>
        <v>11958</v>
      </c>
      <c r="G53" s="1">
        <f t="shared" si="8"/>
        <v>0.11116000000038184</v>
      </c>
      <c r="I53" s="1">
        <f>+G53</f>
        <v>0.11116000000038184</v>
      </c>
      <c r="O53" s="1">
        <f t="shared" ca="1" si="9"/>
        <v>0.118007435348258</v>
      </c>
      <c r="Q53" s="55">
        <f t="shared" si="10"/>
        <v>39508.646000000001</v>
      </c>
    </row>
    <row r="54" spans="1:17" x14ac:dyDescent="0.2">
      <c r="A54" s="32" t="s">
        <v>57</v>
      </c>
      <c r="B54" s="33" t="s">
        <v>43</v>
      </c>
      <c r="C54" s="32">
        <v>55258.573470000003</v>
      </c>
      <c r="D54" s="32">
        <v>1.2E-4</v>
      </c>
      <c r="E54" s="26">
        <f t="shared" si="6"/>
        <v>12514.100153556117</v>
      </c>
      <c r="F54" s="1">
        <f t="shared" si="7"/>
        <v>12514</v>
      </c>
      <c r="G54" s="1">
        <f t="shared" si="8"/>
        <v>0.13175000000046566</v>
      </c>
      <c r="K54" s="1">
        <f t="shared" ref="K54:K63" si="11">+G54</f>
        <v>0.13175000000046566</v>
      </c>
      <c r="O54" s="1">
        <f t="shared" ca="1" si="9"/>
        <v>0.12299415407451503</v>
      </c>
      <c r="Q54" s="55">
        <f t="shared" si="10"/>
        <v>40240.073470000003</v>
      </c>
    </row>
    <row r="55" spans="1:17" x14ac:dyDescent="0.2">
      <c r="A55" s="32" t="s">
        <v>57</v>
      </c>
      <c r="B55" s="33" t="s">
        <v>43</v>
      </c>
      <c r="C55" s="32">
        <v>55308.555070000002</v>
      </c>
      <c r="D55" s="32">
        <v>3.6000000000000002E-4</v>
      </c>
      <c r="E55" s="26">
        <f t="shared" si="6"/>
        <v>12552.095105968925</v>
      </c>
      <c r="F55" s="1">
        <f t="shared" si="7"/>
        <v>12552</v>
      </c>
      <c r="G55" s="1">
        <f t="shared" si="8"/>
        <v>0.12511000000085915</v>
      </c>
      <c r="K55" s="1">
        <f t="shared" si="11"/>
        <v>0.12511000000085915</v>
      </c>
      <c r="O55" s="1">
        <f t="shared" ca="1" si="9"/>
        <v>0.12333497298026641</v>
      </c>
      <c r="Q55" s="55">
        <f t="shared" si="10"/>
        <v>40290.055070000002</v>
      </c>
    </row>
    <row r="56" spans="1:17" x14ac:dyDescent="0.2">
      <c r="A56" s="32" t="s">
        <v>57</v>
      </c>
      <c r="B56" s="33" t="s">
        <v>43</v>
      </c>
      <c r="C56" s="32">
        <v>55600.591910000003</v>
      </c>
      <c r="D56" s="32">
        <v>2.7999999999999998E-4</v>
      </c>
      <c r="E56" s="26">
        <f t="shared" si="6"/>
        <v>12774.095318818987</v>
      </c>
      <c r="F56" s="1">
        <f t="shared" si="7"/>
        <v>12774</v>
      </c>
      <c r="G56" s="1">
        <f t="shared" si="8"/>
        <v>0.12539000000106171</v>
      </c>
      <c r="K56" s="1">
        <f t="shared" si="11"/>
        <v>0.12539000000106171</v>
      </c>
      <c r="O56" s="1">
        <f t="shared" ca="1" si="9"/>
        <v>0.12532607290334027</v>
      </c>
      <c r="Q56" s="55">
        <f t="shared" si="10"/>
        <v>40582.091910000003</v>
      </c>
    </row>
    <row r="57" spans="1:17" x14ac:dyDescent="0.2">
      <c r="A57" s="32" t="s">
        <v>57</v>
      </c>
      <c r="B57" s="33" t="s">
        <v>43</v>
      </c>
      <c r="C57" s="32">
        <v>55621.631869999997</v>
      </c>
      <c r="D57" s="32">
        <v>1.25E-3</v>
      </c>
      <c r="E57" s="26">
        <f t="shared" si="6"/>
        <v>12790.089450238693</v>
      </c>
      <c r="F57" s="1">
        <f t="shared" si="7"/>
        <v>12790</v>
      </c>
      <c r="G57" s="1">
        <f t="shared" si="8"/>
        <v>0.1176699999923585</v>
      </c>
      <c r="K57" s="1">
        <f t="shared" si="11"/>
        <v>0.1176699999923585</v>
      </c>
      <c r="O57" s="1">
        <f t="shared" ca="1" si="9"/>
        <v>0.12546957560049873</v>
      </c>
      <c r="Q57" s="55">
        <f t="shared" si="10"/>
        <v>40603.131869999997</v>
      </c>
    </row>
    <row r="58" spans="1:17" x14ac:dyDescent="0.2">
      <c r="A58" s="32" t="s">
        <v>57</v>
      </c>
      <c r="B58" s="33" t="s">
        <v>43</v>
      </c>
      <c r="C58" s="32">
        <v>55650.576500000003</v>
      </c>
      <c r="D58" s="32">
        <v>8.0000000000000007E-5</v>
      </c>
      <c r="E58" s="26">
        <f t="shared" si="6"/>
        <v>12812.092544166389</v>
      </c>
      <c r="F58" s="1">
        <f t="shared" si="7"/>
        <v>12812</v>
      </c>
      <c r="G58" s="1">
        <f t="shared" si="8"/>
        <v>0.12174000000231899</v>
      </c>
      <c r="K58" s="1">
        <f t="shared" si="11"/>
        <v>0.12174000000231899</v>
      </c>
      <c r="O58" s="1">
        <f t="shared" ca="1" si="9"/>
        <v>0.12566689180909166</v>
      </c>
      <c r="Q58" s="55">
        <f t="shared" si="10"/>
        <v>40632.076500000003</v>
      </c>
    </row>
    <row r="59" spans="1:17" x14ac:dyDescent="0.2">
      <c r="A59" s="34" t="s">
        <v>58</v>
      </c>
      <c r="B59" s="35" t="s">
        <v>43</v>
      </c>
      <c r="C59" s="34">
        <v>55992.60284</v>
      </c>
      <c r="D59" s="34">
        <v>7.9000000000000001E-4</v>
      </c>
      <c r="E59" s="26">
        <f t="shared" si="6"/>
        <v>13072.093714841729</v>
      </c>
      <c r="F59" s="1">
        <f t="shared" si="7"/>
        <v>13072</v>
      </c>
      <c r="G59" s="1">
        <f t="shared" si="8"/>
        <v>0.12327999999979511</v>
      </c>
      <c r="K59" s="1">
        <f t="shared" si="11"/>
        <v>0.12327999999979511</v>
      </c>
      <c r="O59" s="1">
        <f t="shared" ca="1" si="9"/>
        <v>0.12799881063791688</v>
      </c>
      <c r="Q59" s="55">
        <f t="shared" si="10"/>
        <v>40974.10284</v>
      </c>
    </row>
    <row r="60" spans="1:17" x14ac:dyDescent="0.2">
      <c r="A60" t="s">
        <v>59</v>
      </c>
      <c r="B60" s="15" t="s">
        <v>43</v>
      </c>
      <c r="C60" s="25">
        <v>56057.0556</v>
      </c>
      <c r="D60" s="25">
        <v>4.0000000000000002E-4</v>
      </c>
      <c r="E60" s="26">
        <f t="shared" si="6"/>
        <v>13121.089336211875</v>
      </c>
      <c r="F60" s="1">
        <f t="shared" si="7"/>
        <v>13121</v>
      </c>
      <c r="G60" s="1">
        <f t="shared" si="8"/>
        <v>0.1175199999997858</v>
      </c>
      <c r="K60" s="1">
        <f t="shared" si="11"/>
        <v>0.1175199999997858</v>
      </c>
      <c r="O60" s="1">
        <f t="shared" ca="1" si="9"/>
        <v>0.12843828764796472</v>
      </c>
      <c r="Q60" s="55">
        <f t="shared" si="10"/>
        <v>41038.5556</v>
      </c>
    </row>
    <row r="61" spans="1:17" x14ac:dyDescent="0.2">
      <c r="A61" s="34" t="s">
        <v>58</v>
      </c>
      <c r="B61" s="35" t="s">
        <v>43</v>
      </c>
      <c r="C61" s="34">
        <v>56367.517500000002</v>
      </c>
      <c r="D61" s="34">
        <v>3.6999999999999999E-4</v>
      </c>
      <c r="E61" s="26">
        <f t="shared" si="6"/>
        <v>13357.095888953083</v>
      </c>
      <c r="F61" s="1">
        <f t="shared" si="7"/>
        <v>13357</v>
      </c>
      <c r="G61" s="1">
        <f t="shared" si="8"/>
        <v>0.12614000000030501</v>
      </c>
      <c r="K61" s="1">
        <f t="shared" si="11"/>
        <v>0.12614000000030501</v>
      </c>
      <c r="O61" s="1">
        <f t="shared" ca="1" si="9"/>
        <v>0.13055495243105225</v>
      </c>
      <c r="Q61" s="55">
        <f t="shared" si="10"/>
        <v>41349.017500000002</v>
      </c>
    </row>
    <row r="62" spans="1:17" x14ac:dyDescent="0.2">
      <c r="A62" s="34" t="s">
        <v>58</v>
      </c>
      <c r="B62" s="35" t="s">
        <v>43</v>
      </c>
      <c r="C62" s="34">
        <v>56421.4519</v>
      </c>
      <c r="D62" s="34">
        <v>1.8799999999999999E-3</v>
      </c>
      <c r="E62" s="26">
        <f t="shared" si="6"/>
        <v>13398.095676103019</v>
      </c>
      <c r="F62" s="1">
        <f t="shared" si="7"/>
        <v>13398</v>
      </c>
      <c r="G62" s="1">
        <f t="shared" si="8"/>
        <v>0.12586000000010245</v>
      </c>
      <c r="K62" s="1">
        <f t="shared" si="11"/>
        <v>0.12586000000010245</v>
      </c>
      <c r="O62" s="1">
        <f t="shared" ca="1" si="9"/>
        <v>0.13092267809252084</v>
      </c>
      <c r="Q62" s="55">
        <f t="shared" si="10"/>
        <v>41402.9519</v>
      </c>
    </row>
    <row r="63" spans="1:17" x14ac:dyDescent="0.2">
      <c r="A63" s="34" t="s">
        <v>58</v>
      </c>
      <c r="B63" s="35" t="s">
        <v>43</v>
      </c>
      <c r="C63" s="34">
        <v>56425.396630000003</v>
      </c>
      <c r="D63" s="34">
        <v>1.4599999999999999E-3</v>
      </c>
      <c r="E63" s="26">
        <f t="shared" si="6"/>
        <v>13401.094376197283</v>
      </c>
      <c r="F63" s="1">
        <f t="shared" si="7"/>
        <v>13401</v>
      </c>
      <c r="G63" s="1">
        <f t="shared" si="8"/>
        <v>0.12415000000328291</v>
      </c>
      <c r="K63" s="1">
        <f t="shared" si="11"/>
        <v>0.12415000000328291</v>
      </c>
      <c r="O63" s="1">
        <f t="shared" ca="1" si="9"/>
        <v>0.13094958484823804</v>
      </c>
      <c r="Q63" s="55">
        <f t="shared" si="10"/>
        <v>41406.896630000003</v>
      </c>
    </row>
    <row r="64" spans="1:17" x14ac:dyDescent="0.2">
      <c r="A64" s="36" t="s">
        <v>60</v>
      </c>
      <c r="B64" s="37" t="s">
        <v>43</v>
      </c>
      <c r="C64" s="38">
        <v>57868.478999999999</v>
      </c>
      <c r="D64" s="39">
        <v>2E-3</v>
      </c>
      <c r="E64" s="26">
        <f t="shared" si="6"/>
        <v>14498.094991942104</v>
      </c>
      <c r="F64" s="1">
        <f t="shared" si="7"/>
        <v>14498</v>
      </c>
      <c r="G64" s="1">
        <f t="shared" si="8"/>
        <v>0.12495999999373453</v>
      </c>
      <c r="K64" s="1">
        <f>+G64</f>
        <v>0.12495999999373453</v>
      </c>
      <c r="O64" s="1">
        <f t="shared" ca="1" si="9"/>
        <v>0.14078848852216605</v>
      </c>
      <c r="Q64" s="55">
        <f t="shared" si="10"/>
        <v>42849.978999999999</v>
      </c>
    </row>
    <row r="65" spans="1:17" x14ac:dyDescent="0.2">
      <c r="A65" s="40" t="s">
        <v>61</v>
      </c>
      <c r="B65" s="41" t="s">
        <v>43</v>
      </c>
      <c r="C65" s="42">
        <v>58269.692999999999</v>
      </c>
      <c r="D65" s="42">
        <v>8.0000000000000004E-4</v>
      </c>
      <c r="E65" s="26">
        <f>+(C65-C$7)/C$8</f>
        <v>14803.089366619028</v>
      </c>
      <c r="F65" s="1">
        <f t="shared" si="7"/>
        <v>14803</v>
      </c>
      <c r="G65" s="1">
        <f>+C65-(C$7+F65*C$8)</f>
        <v>0.11755999999877531</v>
      </c>
      <c r="K65" s="1">
        <f>+G65</f>
        <v>0.11755999999877531</v>
      </c>
      <c r="O65" s="1">
        <f ca="1">+C$11+C$12*F65</f>
        <v>0.1435240086867495</v>
      </c>
      <c r="Q65" s="55">
        <f>+C65-15018.5</f>
        <v>43251.192999999999</v>
      </c>
    </row>
    <row r="66" spans="1:17" x14ac:dyDescent="0.2">
      <c r="A66" s="40" t="s">
        <v>208</v>
      </c>
      <c r="B66" s="41" t="s">
        <v>43</v>
      </c>
      <c r="C66" s="42">
        <v>59007.696900000003</v>
      </c>
      <c r="D66" s="42">
        <v>6.9999999999999999E-4</v>
      </c>
      <c r="E66" s="26">
        <f>+(C66-C$7)/C$8</f>
        <v>15364.104281326969</v>
      </c>
      <c r="F66" s="1">
        <f>ROUND(2*E66,0)/2</f>
        <v>15364</v>
      </c>
      <c r="G66" s="1">
        <f>+C66-(C$7+F66*C$8)</f>
        <v>0.13717999999789754</v>
      </c>
      <c r="K66" s="1">
        <f>+G66</f>
        <v>0.13717999999789754</v>
      </c>
      <c r="O66" s="1">
        <f ca="1">+C$11+C$12*F66</f>
        <v>0.14855557200586855</v>
      </c>
      <c r="Q66" s="55">
        <f>+C66-15018.5</f>
        <v>43989.196900000003</v>
      </c>
    </row>
    <row r="67" spans="1:17" x14ac:dyDescent="0.2">
      <c r="A67" s="56" t="s">
        <v>209</v>
      </c>
      <c r="B67" s="56" t="s">
        <v>43</v>
      </c>
      <c r="C67" s="57">
        <v>59761.470000000205</v>
      </c>
      <c r="D67" s="58">
        <v>5.0000000000000001E-3</v>
      </c>
      <c r="E67" s="26">
        <f>+(C67-C$7)/C$8</f>
        <v>15937.106607474232</v>
      </c>
      <c r="F67" s="1">
        <f>ROUND(2*E67,0)/2</f>
        <v>15937</v>
      </c>
      <c r="G67" s="1">
        <f>+C67-(C$7+F67*C$8)</f>
        <v>0.14024000020435778</v>
      </c>
      <c r="K67" s="1">
        <f>+G67</f>
        <v>0.14024000020435778</v>
      </c>
      <c r="O67" s="1">
        <f ca="1">+C$11+C$12*F67</f>
        <v>0.15369476234785648</v>
      </c>
      <c r="Q67" s="55">
        <f>+C67-15018.5</f>
        <v>44742.970000000205</v>
      </c>
    </row>
  </sheetData>
  <sheetProtection selectLockedCells="1" selectUnlockedCells="1"/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49"/>
  <sheetViews>
    <sheetView topLeftCell="A2" workbookViewId="0">
      <selection activeCell="A23" sqref="A23"/>
    </sheetView>
  </sheetViews>
  <sheetFormatPr defaultRowHeight="12.75" x14ac:dyDescent="0.2"/>
  <cols>
    <col min="1" max="1" width="19.7109375" style="25" customWidth="1"/>
    <col min="2" max="2" width="4.42578125" customWidth="1"/>
    <col min="3" max="3" width="12.7109375" style="25" customWidth="1"/>
    <col min="4" max="4" width="5.42578125" customWidth="1"/>
    <col min="5" max="5" width="14.85546875" customWidth="1"/>
    <col min="7" max="7" width="12" customWidth="1"/>
    <col min="8" max="8" width="14.140625" style="25" customWidth="1"/>
    <col min="9" max="9" width="22.5703125" customWidth="1"/>
    <col min="10" max="10" width="25.140625" customWidth="1"/>
    <col min="11" max="11" width="15.7109375" customWidth="1"/>
    <col min="12" max="12" width="14.140625" customWidth="1"/>
    <col min="13" max="13" width="9.5703125" customWidth="1"/>
    <col min="14" max="14" width="14.140625" customWidth="1"/>
    <col min="15" max="15" width="23.42578125" customWidth="1"/>
    <col min="16" max="16" width="16.5703125" customWidth="1"/>
    <col min="17" max="17" width="41" customWidth="1"/>
  </cols>
  <sheetData>
    <row r="1" spans="1:16" ht="15.75" x14ac:dyDescent="0.25">
      <c r="A1" s="43" t="s">
        <v>62</v>
      </c>
      <c r="I1" s="44" t="s">
        <v>63</v>
      </c>
      <c r="J1" s="45" t="s">
        <v>35</v>
      </c>
    </row>
    <row r="2" spans="1:16" x14ac:dyDescent="0.2">
      <c r="I2" s="46" t="s">
        <v>64</v>
      </c>
      <c r="J2" s="47" t="s">
        <v>34</v>
      </c>
    </row>
    <row r="3" spans="1:16" x14ac:dyDescent="0.2">
      <c r="A3" s="48" t="s">
        <v>65</v>
      </c>
      <c r="I3" s="46" t="s">
        <v>66</v>
      </c>
      <c r="J3" s="47" t="s">
        <v>32</v>
      </c>
    </row>
    <row r="4" spans="1:16" x14ac:dyDescent="0.2">
      <c r="I4" s="46" t="s">
        <v>67</v>
      </c>
      <c r="J4" s="47" t="s">
        <v>32</v>
      </c>
    </row>
    <row r="5" spans="1:16" x14ac:dyDescent="0.2">
      <c r="I5" s="49" t="s">
        <v>68</v>
      </c>
      <c r="J5" s="50" t="s">
        <v>33</v>
      </c>
    </row>
    <row r="11" spans="1:16" ht="12.75" customHeight="1" x14ac:dyDescent="0.2">
      <c r="A11" s="25" t="str">
        <f t="shared" ref="A11:A49" si="0">P11</f>
        <v> BBS 44 </v>
      </c>
      <c r="B11" s="15" t="str">
        <f t="shared" ref="B11:B49" si="1">IF(H11=INT(H11),"I","II")</f>
        <v>I</v>
      </c>
      <c r="C11" s="25">
        <f t="shared" ref="C11:C49" si="2">1*G11</f>
        <v>44016.421000000002</v>
      </c>
      <c r="D11" t="str">
        <f t="shared" ref="D11:D49" si="3">VLOOKUP(F11,I$1:J$5,2,FALSE)</f>
        <v>vis</v>
      </c>
      <c r="E11">
        <f>VLOOKUP(C11,Active!C$21:E$973,3,FALSE)</f>
        <v>3968.054246358744</v>
      </c>
      <c r="F11" s="15" t="s">
        <v>68</v>
      </c>
      <c r="G11" t="str">
        <f t="shared" ref="G11:G49" si="4">MID(I11,3,LEN(I11)-3)</f>
        <v>44016.421</v>
      </c>
      <c r="H11" s="25">
        <f t="shared" ref="H11:H49" si="5">1*K11</f>
        <v>3968</v>
      </c>
      <c r="I11" s="51" t="s">
        <v>69</v>
      </c>
      <c r="J11" s="52" t="s">
        <v>70</v>
      </c>
      <c r="K11" s="51">
        <v>3968</v>
      </c>
      <c r="L11" s="51" t="s">
        <v>71</v>
      </c>
      <c r="M11" s="52" t="s">
        <v>72</v>
      </c>
      <c r="N11" s="52"/>
      <c r="O11" s="53" t="s">
        <v>73</v>
      </c>
      <c r="P11" s="53" t="s">
        <v>74</v>
      </c>
    </row>
    <row r="12" spans="1:16" ht="12.75" customHeight="1" x14ac:dyDescent="0.2">
      <c r="A12" s="25" t="str">
        <f t="shared" si="0"/>
        <v> JAAVSO 41;122 </v>
      </c>
      <c r="B12" s="15" t="str">
        <f t="shared" si="1"/>
        <v>I</v>
      </c>
      <c r="C12" s="25">
        <f t="shared" si="2"/>
        <v>50192.641000000003</v>
      </c>
      <c r="D12" t="str">
        <f t="shared" si="3"/>
        <v>vis</v>
      </c>
      <c r="E12">
        <f>VLOOKUP(C12,Active!C$21:E$973,3,FALSE)</f>
        <v>8663.0857177608195</v>
      </c>
      <c r="F12" s="15" t="s">
        <v>68</v>
      </c>
      <c r="G12" t="str">
        <f t="shared" si="4"/>
        <v>50192.641</v>
      </c>
      <c r="H12" s="25">
        <f t="shared" si="5"/>
        <v>8663</v>
      </c>
      <c r="I12" s="51" t="s">
        <v>75</v>
      </c>
      <c r="J12" s="52" t="s">
        <v>76</v>
      </c>
      <c r="K12" s="51">
        <v>8663</v>
      </c>
      <c r="L12" s="51" t="s">
        <v>77</v>
      </c>
      <c r="M12" s="52" t="s">
        <v>72</v>
      </c>
      <c r="N12" s="52"/>
      <c r="O12" s="53" t="s">
        <v>78</v>
      </c>
      <c r="P12" s="53" t="s">
        <v>79</v>
      </c>
    </row>
    <row r="13" spans="1:16" ht="12.75" customHeight="1" x14ac:dyDescent="0.2">
      <c r="A13" s="25" t="str">
        <f t="shared" si="0"/>
        <v>IBVS 5690 </v>
      </c>
      <c r="B13" s="15" t="str">
        <f t="shared" si="1"/>
        <v>I</v>
      </c>
      <c r="C13" s="25">
        <f t="shared" si="2"/>
        <v>53499.758199999997</v>
      </c>
      <c r="D13" t="str">
        <f t="shared" si="3"/>
        <v>vis</v>
      </c>
      <c r="E13">
        <f>VLOOKUP(C13,Active!C$21:E$973,3,FALSE)</f>
        <v>11177.086082646634</v>
      </c>
      <c r="F13" s="15" t="s">
        <v>68</v>
      </c>
      <c r="G13" t="str">
        <f t="shared" si="4"/>
        <v>53499.7582</v>
      </c>
      <c r="H13" s="25">
        <f t="shared" si="5"/>
        <v>11177</v>
      </c>
      <c r="I13" s="51" t="s">
        <v>80</v>
      </c>
      <c r="J13" s="52" t="s">
        <v>81</v>
      </c>
      <c r="K13" s="51">
        <v>11177</v>
      </c>
      <c r="L13" s="51" t="s">
        <v>82</v>
      </c>
      <c r="M13" s="52" t="s">
        <v>83</v>
      </c>
      <c r="N13" s="52" t="s">
        <v>84</v>
      </c>
      <c r="O13" s="53" t="s">
        <v>85</v>
      </c>
      <c r="P13" s="54" t="s">
        <v>86</v>
      </c>
    </row>
    <row r="14" spans="1:16" ht="12.75" customHeight="1" x14ac:dyDescent="0.2">
      <c r="A14" s="25" t="str">
        <f t="shared" si="0"/>
        <v>IBVS 6007 </v>
      </c>
      <c r="B14" s="15" t="str">
        <f t="shared" si="1"/>
        <v>I</v>
      </c>
      <c r="C14" s="25">
        <f t="shared" si="2"/>
        <v>55258.573470000003</v>
      </c>
      <c r="D14" t="str">
        <f t="shared" si="3"/>
        <v>vis</v>
      </c>
      <c r="E14">
        <f>VLOOKUP(C14,Active!C$21:E$973,3,FALSE)</f>
        <v>12514.100153556117</v>
      </c>
      <c r="F14" s="15" t="s">
        <v>68</v>
      </c>
      <c r="G14" t="str">
        <f t="shared" si="4"/>
        <v>55258.57347</v>
      </c>
      <c r="H14" s="25">
        <f t="shared" si="5"/>
        <v>12514</v>
      </c>
      <c r="I14" s="51" t="s">
        <v>87</v>
      </c>
      <c r="J14" s="52" t="s">
        <v>88</v>
      </c>
      <c r="K14" s="51">
        <v>12514</v>
      </c>
      <c r="L14" s="51" t="s">
        <v>89</v>
      </c>
      <c r="M14" s="52" t="s">
        <v>90</v>
      </c>
      <c r="N14" s="52" t="s">
        <v>91</v>
      </c>
      <c r="O14" s="53" t="s">
        <v>92</v>
      </c>
      <c r="P14" s="54" t="s">
        <v>93</v>
      </c>
    </row>
    <row r="15" spans="1:16" ht="12.75" customHeight="1" x14ac:dyDescent="0.2">
      <c r="A15" s="25" t="str">
        <f t="shared" si="0"/>
        <v>IBVS 6007 </v>
      </c>
      <c r="B15" s="15" t="str">
        <f t="shared" si="1"/>
        <v>I</v>
      </c>
      <c r="C15" s="25">
        <f t="shared" si="2"/>
        <v>55308.555070000002</v>
      </c>
      <c r="D15" t="str">
        <f t="shared" si="3"/>
        <v>vis</v>
      </c>
      <c r="E15">
        <f>VLOOKUP(C15,Active!C$21:E$973,3,FALSE)</f>
        <v>12552.095105968925</v>
      </c>
      <c r="F15" s="15" t="s">
        <v>68</v>
      </c>
      <c r="G15" t="str">
        <f t="shared" si="4"/>
        <v>55308.55507</v>
      </c>
      <c r="H15" s="25">
        <f t="shared" si="5"/>
        <v>12552</v>
      </c>
      <c r="I15" s="51" t="s">
        <v>94</v>
      </c>
      <c r="J15" s="52" t="s">
        <v>95</v>
      </c>
      <c r="K15" s="51">
        <v>12552</v>
      </c>
      <c r="L15" s="51" t="s">
        <v>96</v>
      </c>
      <c r="M15" s="52" t="s">
        <v>90</v>
      </c>
      <c r="N15" s="52" t="s">
        <v>43</v>
      </c>
      <c r="O15" s="53" t="s">
        <v>92</v>
      </c>
      <c r="P15" s="54" t="s">
        <v>93</v>
      </c>
    </row>
    <row r="16" spans="1:16" ht="12.75" customHeight="1" x14ac:dyDescent="0.2">
      <c r="A16" s="25" t="str">
        <f t="shared" si="0"/>
        <v>IBVS 6007 </v>
      </c>
      <c r="B16" s="15" t="str">
        <f t="shared" si="1"/>
        <v>I</v>
      </c>
      <c r="C16" s="25">
        <f t="shared" si="2"/>
        <v>55600.591910000003</v>
      </c>
      <c r="D16" t="str">
        <f t="shared" si="3"/>
        <v>vis</v>
      </c>
      <c r="E16">
        <f>VLOOKUP(C16,Active!C$21:E$973,3,FALSE)</f>
        <v>12774.095318818987</v>
      </c>
      <c r="F16" s="15" t="s">
        <v>68</v>
      </c>
      <c r="G16" t="str">
        <f t="shared" si="4"/>
        <v>55600.59191</v>
      </c>
      <c r="H16" s="25">
        <f t="shared" si="5"/>
        <v>12774</v>
      </c>
      <c r="I16" s="51" t="s">
        <v>97</v>
      </c>
      <c r="J16" s="52" t="s">
        <v>98</v>
      </c>
      <c r="K16" s="51">
        <v>12774</v>
      </c>
      <c r="L16" s="51" t="s">
        <v>99</v>
      </c>
      <c r="M16" s="52" t="s">
        <v>90</v>
      </c>
      <c r="N16" s="52" t="s">
        <v>91</v>
      </c>
      <c r="O16" s="53" t="s">
        <v>92</v>
      </c>
      <c r="P16" s="54" t="s">
        <v>93</v>
      </c>
    </row>
    <row r="17" spans="1:16" ht="12.75" customHeight="1" x14ac:dyDescent="0.2">
      <c r="A17" s="25" t="str">
        <f t="shared" si="0"/>
        <v>IBVS 6007 </v>
      </c>
      <c r="B17" s="15" t="str">
        <f t="shared" si="1"/>
        <v>I</v>
      </c>
      <c r="C17" s="25">
        <f t="shared" si="2"/>
        <v>55621.631869999997</v>
      </c>
      <c r="D17" t="str">
        <f t="shared" si="3"/>
        <v>vis</v>
      </c>
      <c r="E17">
        <f>VLOOKUP(C17,Active!C$21:E$973,3,FALSE)</f>
        <v>12790.089450238693</v>
      </c>
      <c r="F17" s="15" t="s">
        <v>68</v>
      </c>
      <c r="G17" t="str">
        <f t="shared" si="4"/>
        <v>55621.63187</v>
      </c>
      <c r="H17" s="25">
        <f t="shared" si="5"/>
        <v>12790</v>
      </c>
      <c r="I17" s="51" t="s">
        <v>100</v>
      </c>
      <c r="J17" s="52" t="s">
        <v>101</v>
      </c>
      <c r="K17" s="51">
        <v>12790</v>
      </c>
      <c r="L17" s="51" t="s">
        <v>102</v>
      </c>
      <c r="M17" s="52" t="s">
        <v>90</v>
      </c>
      <c r="N17" s="52" t="s">
        <v>103</v>
      </c>
      <c r="O17" s="53" t="s">
        <v>92</v>
      </c>
      <c r="P17" s="54" t="s">
        <v>93</v>
      </c>
    </row>
    <row r="18" spans="1:16" ht="12.75" customHeight="1" x14ac:dyDescent="0.2">
      <c r="A18" s="25" t="str">
        <f t="shared" si="0"/>
        <v>IBVS 6007 </v>
      </c>
      <c r="B18" s="15" t="str">
        <f t="shared" si="1"/>
        <v>I</v>
      </c>
      <c r="C18" s="25">
        <f t="shared" si="2"/>
        <v>55650.576500000003</v>
      </c>
      <c r="D18" t="str">
        <f t="shared" si="3"/>
        <v>vis</v>
      </c>
      <c r="E18">
        <f>VLOOKUP(C18,Active!C$21:E$973,3,FALSE)</f>
        <v>12812.092544166389</v>
      </c>
      <c r="F18" s="15" t="s">
        <v>68</v>
      </c>
      <c r="G18" t="str">
        <f t="shared" si="4"/>
        <v>55650.57650</v>
      </c>
      <c r="H18" s="25">
        <f t="shared" si="5"/>
        <v>12812</v>
      </c>
      <c r="I18" s="51" t="s">
        <v>104</v>
      </c>
      <c r="J18" s="52" t="s">
        <v>105</v>
      </c>
      <c r="K18" s="51">
        <v>12812</v>
      </c>
      <c r="L18" s="51" t="s">
        <v>106</v>
      </c>
      <c r="M18" s="52" t="s">
        <v>90</v>
      </c>
      <c r="N18" s="52" t="s">
        <v>91</v>
      </c>
      <c r="O18" s="53" t="s">
        <v>92</v>
      </c>
      <c r="P18" s="54" t="s">
        <v>93</v>
      </c>
    </row>
    <row r="19" spans="1:16" ht="12.75" customHeight="1" x14ac:dyDescent="0.2">
      <c r="A19" s="25" t="str">
        <f t="shared" si="0"/>
        <v>IBVS 6114 </v>
      </c>
      <c r="B19" s="15" t="str">
        <f t="shared" si="1"/>
        <v>I</v>
      </c>
      <c r="C19" s="25">
        <f t="shared" si="2"/>
        <v>55992.60284</v>
      </c>
      <c r="D19" t="str">
        <f t="shared" si="3"/>
        <v>vis</v>
      </c>
      <c r="E19">
        <f>VLOOKUP(C19,Active!C$21:E$973,3,FALSE)</f>
        <v>13072.093714841729</v>
      </c>
      <c r="F19" s="15" t="s">
        <v>68</v>
      </c>
      <c r="G19" t="str">
        <f t="shared" si="4"/>
        <v>55992.60284</v>
      </c>
      <c r="H19" s="25">
        <f t="shared" si="5"/>
        <v>13072</v>
      </c>
      <c r="I19" s="51" t="s">
        <v>107</v>
      </c>
      <c r="J19" s="52" t="s">
        <v>108</v>
      </c>
      <c r="K19" s="51">
        <v>13072</v>
      </c>
      <c r="L19" s="51" t="s">
        <v>109</v>
      </c>
      <c r="M19" s="52" t="s">
        <v>90</v>
      </c>
      <c r="N19" s="52" t="s">
        <v>63</v>
      </c>
      <c r="O19" s="53" t="s">
        <v>92</v>
      </c>
      <c r="P19" s="54" t="s">
        <v>110</v>
      </c>
    </row>
    <row r="20" spans="1:16" ht="12.75" customHeight="1" x14ac:dyDescent="0.2">
      <c r="A20" s="25" t="str">
        <f t="shared" si="0"/>
        <v>IBVS 6114 </v>
      </c>
      <c r="B20" s="15" t="str">
        <f t="shared" si="1"/>
        <v>I</v>
      </c>
      <c r="C20" s="25">
        <f t="shared" si="2"/>
        <v>56367.517500000002</v>
      </c>
      <c r="D20" t="str">
        <f t="shared" si="3"/>
        <v>vis</v>
      </c>
      <c r="E20">
        <f>VLOOKUP(C20,Active!C$21:E$973,3,FALSE)</f>
        <v>13357.095888953083</v>
      </c>
      <c r="F20" s="15" t="s">
        <v>68</v>
      </c>
      <c r="G20" t="str">
        <f t="shared" si="4"/>
        <v>56367.5175</v>
      </c>
      <c r="H20" s="25">
        <f t="shared" si="5"/>
        <v>13357</v>
      </c>
      <c r="I20" s="51" t="s">
        <v>111</v>
      </c>
      <c r="J20" s="52" t="s">
        <v>112</v>
      </c>
      <c r="K20" s="51">
        <v>13357</v>
      </c>
      <c r="L20" s="51" t="s">
        <v>113</v>
      </c>
      <c r="M20" s="52" t="s">
        <v>90</v>
      </c>
      <c r="N20" s="52" t="s">
        <v>63</v>
      </c>
      <c r="O20" s="53" t="s">
        <v>92</v>
      </c>
      <c r="P20" s="54" t="s">
        <v>110</v>
      </c>
    </row>
    <row r="21" spans="1:16" ht="12.75" customHeight="1" x14ac:dyDescent="0.2">
      <c r="A21" s="25" t="str">
        <f t="shared" si="0"/>
        <v>IBVS 6114 </v>
      </c>
      <c r="B21" s="15" t="str">
        <f t="shared" si="1"/>
        <v>I</v>
      </c>
      <c r="C21" s="25">
        <f t="shared" si="2"/>
        <v>56421.4519</v>
      </c>
      <c r="D21" t="str">
        <f t="shared" si="3"/>
        <v>vis</v>
      </c>
      <c r="E21">
        <f>VLOOKUP(C21,Active!C$21:E$973,3,FALSE)</f>
        <v>13398.095676103019</v>
      </c>
      <c r="F21" s="15" t="s">
        <v>68</v>
      </c>
      <c r="G21" t="str">
        <f t="shared" si="4"/>
        <v>56421.4519</v>
      </c>
      <c r="H21" s="25">
        <f t="shared" si="5"/>
        <v>13398</v>
      </c>
      <c r="I21" s="51" t="s">
        <v>114</v>
      </c>
      <c r="J21" s="52" t="s">
        <v>115</v>
      </c>
      <c r="K21" s="51">
        <v>13398</v>
      </c>
      <c r="L21" s="51" t="s">
        <v>116</v>
      </c>
      <c r="M21" s="52" t="s">
        <v>90</v>
      </c>
      <c r="N21" s="52" t="s">
        <v>43</v>
      </c>
      <c r="O21" s="53" t="s">
        <v>92</v>
      </c>
      <c r="P21" s="54" t="s">
        <v>110</v>
      </c>
    </row>
    <row r="22" spans="1:16" ht="12.75" customHeight="1" x14ac:dyDescent="0.2">
      <c r="A22" s="25" t="str">
        <f t="shared" si="0"/>
        <v>IBVS 6114 </v>
      </c>
      <c r="B22" s="15" t="str">
        <f t="shared" si="1"/>
        <v>I</v>
      </c>
      <c r="C22" s="25">
        <f t="shared" si="2"/>
        <v>56425.396630000003</v>
      </c>
      <c r="D22" t="str">
        <f t="shared" si="3"/>
        <v>vis</v>
      </c>
      <c r="E22">
        <f>VLOOKUP(C22,Active!C$21:E$973,3,FALSE)</f>
        <v>13401.094376197283</v>
      </c>
      <c r="F22" s="15" t="s">
        <v>68</v>
      </c>
      <c r="G22" t="str">
        <f t="shared" si="4"/>
        <v>56425.39663</v>
      </c>
      <c r="H22" s="25">
        <f t="shared" si="5"/>
        <v>13401</v>
      </c>
      <c r="I22" s="51" t="s">
        <v>117</v>
      </c>
      <c r="J22" s="52" t="s">
        <v>118</v>
      </c>
      <c r="K22" s="51">
        <v>13401</v>
      </c>
      <c r="L22" s="51" t="s">
        <v>119</v>
      </c>
      <c r="M22" s="52" t="s">
        <v>90</v>
      </c>
      <c r="N22" s="52" t="s">
        <v>63</v>
      </c>
      <c r="O22" s="53" t="s">
        <v>92</v>
      </c>
      <c r="P22" s="54" t="s">
        <v>110</v>
      </c>
    </row>
    <row r="23" spans="1:16" ht="12.75" customHeight="1" x14ac:dyDescent="0.2">
      <c r="A23" s="25" t="str">
        <f t="shared" si="0"/>
        <v> PZ 17.86 </v>
      </c>
      <c r="B23" s="15" t="str">
        <f t="shared" si="1"/>
        <v>I</v>
      </c>
      <c r="C23" s="25">
        <f t="shared" si="2"/>
        <v>29805.223000000002</v>
      </c>
      <c r="D23" t="str">
        <f t="shared" si="3"/>
        <v>vis</v>
      </c>
      <c r="E23">
        <f>VLOOKUP(C23,Active!C$21:E$973,3,FALSE)</f>
        <v>-6834.997111320582</v>
      </c>
      <c r="F23" s="15" t="s">
        <v>68</v>
      </c>
      <c r="G23" t="str">
        <f t="shared" si="4"/>
        <v>29805.223</v>
      </c>
      <c r="H23" s="25">
        <f t="shared" si="5"/>
        <v>-6835</v>
      </c>
      <c r="I23" s="51" t="s">
        <v>120</v>
      </c>
      <c r="J23" s="52" t="s">
        <v>121</v>
      </c>
      <c r="K23" s="51">
        <v>-6835</v>
      </c>
      <c r="L23" s="51" t="s">
        <v>122</v>
      </c>
      <c r="M23" s="52" t="s">
        <v>123</v>
      </c>
      <c r="N23" s="52"/>
      <c r="O23" s="53" t="s">
        <v>124</v>
      </c>
      <c r="P23" s="53" t="s">
        <v>42</v>
      </c>
    </row>
    <row r="24" spans="1:16" ht="12.75" customHeight="1" x14ac:dyDescent="0.2">
      <c r="A24" s="25" t="str">
        <f t="shared" si="0"/>
        <v> PZ 17.86 </v>
      </c>
      <c r="B24" s="15" t="str">
        <f t="shared" si="1"/>
        <v>I</v>
      </c>
      <c r="C24" s="25">
        <f t="shared" si="2"/>
        <v>30089.342000000001</v>
      </c>
      <c r="D24" t="str">
        <f t="shared" si="3"/>
        <v>vis</v>
      </c>
      <c r="E24">
        <f>VLOOKUP(C24,Active!C$21:E$973,3,FALSE)</f>
        <v>-6619.0158725332203</v>
      </c>
      <c r="F24" s="15" t="s">
        <v>68</v>
      </c>
      <c r="G24" t="str">
        <f t="shared" si="4"/>
        <v>30089.342</v>
      </c>
      <c r="H24" s="25">
        <f t="shared" si="5"/>
        <v>-6619</v>
      </c>
      <c r="I24" s="51" t="s">
        <v>125</v>
      </c>
      <c r="J24" s="52" t="s">
        <v>126</v>
      </c>
      <c r="K24" s="51">
        <v>-6619</v>
      </c>
      <c r="L24" s="51" t="s">
        <v>127</v>
      </c>
      <c r="M24" s="52" t="s">
        <v>123</v>
      </c>
      <c r="N24" s="52"/>
      <c r="O24" s="53" t="s">
        <v>124</v>
      </c>
      <c r="P24" s="53" t="s">
        <v>42</v>
      </c>
    </row>
    <row r="25" spans="1:16" ht="12.75" customHeight="1" x14ac:dyDescent="0.2">
      <c r="A25" s="25" t="str">
        <f t="shared" si="0"/>
        <v> PZ 17.86 </v>
      </c>
      <c r="B25" s="15" t="str">
        <f t="shared" si="1"/>
        <v>I</v>
      </c>
      <c r="C25" s="25">
        <f t="shared" si="2"/>
        <v>31252.201000000001</v>
      </c>
      <c r="D25" t="str">
        <f t="shared" si="3"/>
        <v>vis</v>
      </c>
      <c r="E25">
        <f>VLOOKUP(C25,Active!C$21:E$973,3,FALSE)</f>
        <v>-5735.035120260286</v>
      </c>
      <c r="F25" s="15" t="s">
        <v>68</v>
      </c>
      <c r="G25" t="str">
        <f t="shared" si="4"/>
        <v>31252.201</v>
      </c>
      <c r="H25" s="25">
        <f t="shared" si="5"/>
        <v>-5735</v>
      </c>
      <c r="I25" s="51" t="s">
        <v>128</v>
      </c>
      <c r="J25" s="52" t="s">
        <v>129</v>
      </c>
      <c r="K25" s="51">
        <v>-5735</v>
      </c>
      <c r="L25" s="51" t="s">
        <v>130</v>
      </c>
      <c r="M25" s="52" t="s">
        <v>123</v>
      </c>
      <c r="N25" s="52"/>
      <c r="O25" s="53" t="s">
        <v>124</v>
      </c>
      <c r="P25" s="53" t="s">
        <v>42</v>
      </c>
    </row>
    <row r="26" spans="1:16" ht="12.75" customHeight="1" x14ac:dyDescent="0.2">
      <c r="A26" s="25" t="str">
        <f t="shared" si="0"/>
        <v> PZ 17.86 </v>
      </c>
      <c r="B26" s="15" t="str">
        <f t="shared" si="1"/>
        <v>I</v>
      </c>
      <c r="C26" s="25">
        <f t="shared" si="2"/>
        <v>32678.207999999999</v>
      </c>
      <c r="D26" t="str">
        <f t="shared" si="3"/>
        <v>vis</v>
      </c>
      <c r="E26">
        <f>VLOOKUP(C26,Active!C$21:E$973,3,FALSE)</f>
        <v>-4651.0148386900619</v>
      </c>
      <c r="F26" s="15" t="s">
        <v>68</v>
      </c>
      <c r="G26" t="str">
        <f t="shared" si="4"/>
        <v>32678.208</v>
      </c>
      <c r="H26" s="25">
        <f t="shared" si="5"/>
        <v>-4651</v>
      </c>
      <c r="I26" s="51" t="s">
        <v>131</v>
      </c>
      <c r="J26" s="52" t="s">
        <v>132</v>
      </c>
      <c r="K26" s="51">
        <v>-4651</v>
      </c>
      <c r="L26" s="51" t="s">
        <v>133</v>
      </c>
      <c r="M26" s="52" t="s">
        <v>123</v>
      </c>
      <c r="N26" s="52"/>
      <c r="O26" s="53" t="s">
        <v>124</v>
      </c>
      <c r="P26" s="53" t="s">
        <v>42</v>
      </c>
    </row>
    <row r="27" spans="1:16" ht="12.75" customHeight="1" x14ac:dyDescent="0.2">
      <c r="A27" s="25" t="str">
        <f t="shared" si="0"/>
        <v> PZ 17.86 </v>
      </c>
      <c r="B27" s="15" t="str">
        <f t="shared" si="1"/>
        <v>I</v>
      </c>
      <c r="C27" s="25">
        <f t="shared" si="2"/>
        <v>33358.330999999998</v>
      </c>
      <c r="D27" t="str">
        <f t="shared" si="3"/>
        <v>vis</v>
      </c>
      <c r="E27">
        <f>VLOOKUP(C27,Active!C$21:E$973,3,FALSE)</f>
        <v>-4133.9997567427881</v>
      </c>
      <c r="F27" s="15" t="s">
        <v>68</v>
      </c>
      <c r="G27" t="str">
        <f t="shared" si="4"/>
        <v>33358.331</v>
      </c>
      <c r="H27" s="25">
        <f t="shared" si="5"/>
        <v>-4134</v>
      </c>
      <c r="I27" s="51" t="s">
        <v>134</v>
      </c>
      <c r="J27" s="52" t="s">
        <v>135</v>
      </c>
      <c r="K27" s="51">
        <v>-4134</v>
      </c>
      <c r="L27" s="51" t="s">
        <v>136</v>
      </c>
      <c r="M27" s="52" t="s">
        <v>123</v>
      </c>
      <c r="N27" s="52"/>
      <c r="O27" s="53" t="s">
        <v>124</v>
      </c>
      <c r="P27" s="53" t="s">
        <v>42</v>
      </c>
    </row>
    <row r="28" spans="1:16" ht="12.75" customHeight="1" x14ac:dyDescent="0.2">
      <c r="A28" s="25" t="str">
        <f t="shared" si="0"/>
        <v> PZ 17.86 </v>
      </c>
      <c r="B28" s="15" t="str">
        <f t="shared" si="1"/>
        <v>I</v>
      </c>
      <c r="C28" s="25">
        <f t="shared" si="2"/>
        <v>33746.360999999997</v>
      </c>
      <c r="D28" t="str">
        <f t="shared" si="3"/>
        <v>vis</v>
      </c>
      <c r="E28">
        <f>VLOOKUP(C28,Active!C$21:E$973,3,FALSE)</f>
        <v>-3839.0275792866514</v>
      </c>
      <c r="F28" s="15" t="s">
        <v>68</v>
      </c>
      <c r="G28" t="str">
        <f t="shared" si="4"/>
        <v>33746.361</v>
      </c>
      <c r="H28" s="25">
        <f t="shared" si="5"/>
        <v>-3839</v>
      </c>
      <c r="I28" s="51" t="s">
        <v>137</v>
      </c>
      <c r="J28" s="52" t="s">
        <v>138</v>
      </c>
      <c r="K28" s="51">
        <v>-3839</v>
      </c>
      <c r="L28" s="51" t="s">
        <v>139</v>
      </c>
      <c r="M28" s="52" t="s">
        <v>123</v>
      </c>
      <c r="N28" s="52"/>
      <c r="O28" s="53" t="s">
        <v>124</v>
      </c>
      <c r="P28" s="53" t="s">
        <v>42</v>
      </c>
    </row>
    <row r="29" spans="1:16" ht="12.75" customHeight="1" x14ac:dyDescent="0.2">
      <c r="A29" s="25" t="str">
        <f t="shared" si="0"/>
        <v> PZ 17.86 </v>
      </c>
      <c r="B29" s="15" t="str">
        <f t="shared" si="1"/>
        <v>I</v>
      </c>
      <c r="C29" s="25">
        <f t="shared" si="2"/>
        <v>34542.216</v>
      </c>
      <c r="D29" t="str">
        <f t="shared" si="3"/>
        <v>vis</v>
      </c>
      <c r="E29">
        <f>VLOOKUP(C29,Active!C$21:E$973,3,FALSE)</f>
        <v>-3234.035485146107</v>
      </c>
      <c r="F29" s="15" t="s">
        <v>68</v>
      </c>
      <c r="G29" t="str">
        <f t="shared" si="4"/>
        <v>34542.216</v>
      </c>
      <c r="H29" s="25">
        <f t="shared" si="5"/>
        <v>-3234</v>
      </c>
      <c r="I29" s="51" t="s">
        <v>140</v>
      </c>
      <c r="J29" s="52" t="s">
        <v>141</v>
      </c>
      <c r="K29" s="51">
        <v>-3234</v>
      </c>
      <c r="L29" s="51" t="s">
        <v>142</v>
      </c>
      <c r="M29" s="52" t="s">
        <v>123</v>
      </c>
      <c r="N29" s="52"/>
      <c r="O29" s="53" t="s">
        <v>124</v>
      </c>
      <c r="P29" s="53" t="s">
        <v>42</v>
      </c>
    </row>
    <row r="30" spans="1:16" ht="12.75" customHeight="1" x14ac:dyDescent="0.2">
      <c r="A30" s="25" t="str">
        <f t="shared" si="0"/>
        <v> PZ 17.86 </v>
      </c>
      <c r="B30" s="15" t="str">
        <f t="shared" si="1"/>
        <v>I</v>
      </c>
      <c r="C30" s="25">
        <f t="shared" si="2"/>
        <v>35251.25</v>
      </c>
      <c r="D30" t="str">
        <f t="shared" si="3"/>
        <v>vis</v>
      </c>
      <c r="E30">
        <f>VLOOKUP(C30,Active!C$21:E$973,3,FALSE)</f>
        <v>-2695.0428740839857</v>
      </c>
      <c r="F30" s="15" t="s">
        <v>68</v>
      </c>
      <c r="G30" t="str">
        <f t="shared" si="4"/>
        <v>35251.250</v>
      </c>
      <c r="H30" s="25">
        <f t="shared" si="5"/>
        <v>-2695</v>
      </c>
      <c r="I30" s="51" t="s">
        <v>143</v>
      </c>
      <c r="J30" s="52" t="s">
        <v>144</v>
      </c>
      <c r="K30" s="51">
        <v>-2695</v>
      </c>
      <c r="L30" s="51" t="s">
        <v>145</v>
      </c>
      <c r="M30" s="52" t="s">
        <v>123</v>
      </c>
      <c r="N30" s="52"/>
      <c r="O30" s="53" t="s">
        <v>124</v>
      </c>
      <c r="P30" s="53" t="s">
        <v>42</v>
      </c>
    </row>
    <row r="31" spans="1:16" ht="12.75" customHeight="1" x14ac:dyDescent="0.2">
      <c r="A31" s="25" t="str">
        <f t="shared" si="0"/>
        <v> PZ 17.86 </v>
      </c>
      <c r="B31" s="15" t="str">
        <f t="shared" si="1"/>
        <v>I</v>
      </c>
      <c r="C31" s="25">
        <f t="shared" si="2"/>
        <v>35601.231</v>
      </c>
      <c r="D31" t="str">
        <f t="shared" si="3"/>
        <v>vis</v>
      </c>
      <c r="E31">
        <f>VLOOKUP(C31,Active!C$21:E$973,3,FALSE)</f>
        <v>-2428.9947395627464</v>
      </c>
      <c r="F31" s="15" t="s">
        <v>68</v>
      </c>
      <c r="G31" t="str">
        <f t="shared" si="4"/>
        <v>35601.231</v>
      </c>
      <c r="H31" s="25">
        <f t="shared" si="5"/>
        <v>-2429</v>
      </c>
      <c r="I31" s="51" t="s">
        <v>146</v>
      </c>
      <c r="J31" s="52" t="s">
        <v>147</v>
      </c>
      <c r="K31" s="51">
        <v>-2429</v>
      </c>
      <c r="L31" s="51" t="s">
        <v>148</v>
      </c>
      <c r="M31" s="52" t="s">
        <v>123</v>
      </c>
      <c r="N31" s="52"/>
      <c r="O31" s="53" t="s">
        <v>124</v>
      </c>
      <c r="P31" s="53" t="s">
        <v>42</v>
      </c>
    </row>
    <row r="32" spans="1:16" ht="12.75" customHeight="1" x14ac:dyDescent="0.2">
      <c r="A32" s="25" t="str">
        <f t="shared" si="0"/>
        <v> PZ 17.86 </v>
      </c>
      <c r="B32" s="15" t="str">
        <f t="shared" si="1"/>
        <v>I</v>
      </c>
      <c r="C32" s="25">
        <f t="shared" si="2"/>
        <v>36335.256000000001</v>
      </c>
      <c r="D32" t="str">
        <f t="shared" si="3"/>
        <v>vis</v>
      </c>
      <c r="E32">
        <f>VLOOKUP(C32,Active!C$21:E$973,3,FALSE)</f>
        <v>-1871.0045002584609</v>
      </c>
      <c r="F32" s="15" t="s">
        <v>68</v>
      </c>
      <c r="G32" t="str">
        <f t="shared" si="4"/>
        <v>36335.256</v>
      </c>
      <c r="H32" s="25">
        <f t="shared" si="5"/>
        <v>-1871</v>
      </c>
      <c r="I32" s="51" t="s">
        <v>149</v>
      </c>
      <c r="J32" s="52" t="s">
        <v>150</v>
      </c>
      <c r="K32" s="51">
        <v>-1871</v>
      </c>
      <c r="L32" s="51" t="s">
        <v>151</v>
      </c>
      <c r="M32" s="52" t="s">
        <v>123</v>
      </c>
      <c r="N32" s="52"/>
      <c r="O32" s="53" t="s">
        <v>124</v>
      </c>
      <c r="P32" s="53" t="s">
        <v>42</v>
      </c>
    </row>
    <row r="33" spans="1:16" ht="12.75" customHeight="1" x14ac:dyDescent="0.2">
      <c r="A33" s="25" t="str">
        <f t="shared" si="0"/>
        <v> PZ 17.86 </v>
      </c>
      <c r="B33" s="15" t="str">
        <f t="shared" si="1"/>
        <v>I</v>
      </c>
      <c r="C33" s="25">
        <f t="shared" si="2"/>
        <v>36364.226000000002</v>
      </c>
      <c r="D33" t="str">
        <f t="shared" si="3"/>
        <v>vis</v>
      </c>
      <c r="E33">
        <f>VLOOKUP(C33,Active!C$21:E$973,3,FALSE)</f>
        <v>-1848.9821205947633</v>
      </c>
      <c r="F33" s="15" t="s">
        <v>68</v>
      </c>
      <c r="G33" t="str">
        <f t="shared" si="4"/>
        <v>36364.226</v>
      </c>
      <c r="H33" s="25">
        <f t="shared" si="5"/>
        <v>-1849</v>
      </c>
      <c r="I33" s="51" t="s">
        <v>152</v>
      </c>
      <c r="J33" s="52" t="s">
        <v>153</v>
      </c>
      <c r="K33" s="51">
        <v>-1849</v>
      </c>
      <c r="L33" s="51" t="s">
        <v>154</v>
      </c>
      <c r="M33" s="52" t="s">
        <v>123</v>
      </c>
      <c r="N33" s="52"/>
      <c r="O33" s="53" t="s">
        <v>124</v>
      </c>
      <c r="P33" s="53" t="s">
        <v>42</v>
      </c>
    </row>
    <row r="34" spans="1:16" ht="12.75" customHeight="1" x14ac:dyDescent="0.2">
      <c r="A34" s="25" t="str">
        <f t="shared" si="0"/>
        <v> PZ 17.86 </v>
      </c>
      <c r="B34" s="15" t="str">
        <f t="shared" si="1"/>
        <v>I</v>
      </c>
      <c r="C34" s="25">
        <f t="shared" si="2"/>
        <v>38796.542000000001</v>
      </c>
      <c r="D34" t="str">
        <f t="shared" si="3"/>
        <v>vis</v>
      </c>
      <c r="E34">
        <f>VLOOKUP(C34,Active!C$21:E$973,3,FALSE)</f>
        <v>1.2923039498757394E-2</v>
      </c>
      <c r="F34" s="15" t="s">
        <v>68</v>
      </c>
      <c r="G34" t="str">
        <f t="shared" si="4"/>
        <v>38796.542</v>
      </c>
      <c r="H34" s="25">
        <f t="shared" si="5"/>
        <v>0</v>
      </c>
      <c r="I34" s="51" t="s">
        <v>155</v>
      </c>
      <c r="J34" s="52" t="s">
        <v>156</v>
      </c>
      <c r="K34" s="51">
        <v>0</v>
      </c>
      <c r="L34" s="51" t="s">
        <v>157</v>
      </c>
      <c r="M34" s="52" t="s">
        <v>123</v>
      </c>
      <c r="N34" s="52"/>
      <c r="O34" s="53" t="s">
        <v>124</v>
      </c>
      <c r="P34" s="53" t="s">
        <v>42</v>
      </c>
    </row>
    <row r="35" spans="1:16" ht="12.75" customHeight="1" x14ac:dyDescent="0.2">
      <c r="A35" s="25" t="str">
        <f t="shared" si="0"/>
        <v> PZ 17.86 </v>
      </c>
      <c r="B35" s="15" t="str">
        <f t="shared" si="1"/>
        <v>I</v>
      </c>
      <c r="C35" s="25">
        <f t="shared" si="2"/>
        <v>38829.440999999999</v>
      </c>
      <c r="D35" t="str">
        <f t="shared" si="3"/>
        <v>vis</v>
      </c>
      <c r="E35">
        <f>VLOOKUP(C35,Active!C$21:E$973,3,FALSE)</f>
        <v>25.022045185025572</v>
      </c>
      <c r="F35" s="15" t="s">
        <v>68</v>
      </c>
      <c r="G35" t="str">
        <f t="shared" si="4"/>
        <v>38829.441</v>
      </c>
      <c r="H35" s="25">
        <f t="shared" si="5"/>
        <v>25</v>
      </c>
      <c r="I35" s="51" t="s">
        <v>158</v>
      </c>
      <c r="J35" s="52" t="s">
        <v>159</v>
      </c>
      <c r="K35" s="51">
        <v>25</v>
      </c>
      <c r="L35" s="51" t="s">
        <v>160</v>
      </c>
      <c r="M35" s="52" t="s">
        <v>123</v>
      </c>
      <c r="N35" s="52"/>
      <c r="O35" s="53" t="s">
        <v>124</v>
      </c>
      <c r="P35" s="53" t="s">
        <v>42</v>
      </c>
    </row>
    <row r="36" spans="1:16" ht="12.75" customHeight="1" x14ac:dyDescent="0.2">
      <c r="A36" s="25" t="str">
        <f t="shared" si="0"/>
        <v> PZ 17.86 </v>
      </c>
      <c r="B36" s="15" t="str">
        <f t="shared" si="1"/>
        <v>I</v>
      </c>
      <c r="C36" s="25">
        <f t="shared" si="2"/>
        <v>38858.410000000003</v>
      </c>
      <c r="D36" t="str">
        <f t="shared" si="3"/>
        <v>vis</v>
      </c>
      <c r="E36">
        <f>VLOOKUP(C36,Active!C$21:E$973,3,FALSE)</f>
        <v>47.043664669931914</v>
      </c>
      <c r="F36" s="15" t="s">
        <v>68</v>
      </c>
      <c r="G36" t="str">
        <f t="shared" si="4"/>
        <v>38858.410</v>
      </c>
      <c r="H36" s="25">
        <f t="shared" si="5"/>
        <v>47</v>
      </c>
      <c r="I36" s="51" t="s">
        <v>161</v>
      </c>
      <c r="J36" s="52" t="s">
        <v>162</v>
      </c>
      <c r="K36" s="51">
        <v>47</v>
      </c>
      <c r="L36" s="51" t="s">
        <v>163</v>
      </c>
      <c r="M36" s="52" t="s">
        <v>123</v>
      </c>
      <c r="N36" s="52"/>
      <c r="O36" s="53" t="s">
        <v>124</v>
      </c>
      <c r="P36" s="53" t="s">
        <v>42</v>
      </c>
    </row>
    <row r="37" spans="1:16" ht="12.75" customHeight="1" x14ac:dyDescent="0.2">
      <c r="A37" s="25" t="str">
        <f t="shared" si="0"/>
        <v> PZ 17.86 </v>
      </c>
      <c r="B37" s="15" t="str">
        <f t="shared" si="1"/>
        <v>I</v>
      </c>
      <c r="C37" s="25">
        <f t="shared" si="2"/>
        <v>38879.362000000001</v>
      </c>
      <c r="D37" t="str">
        <f t="shared" si="3"/>
        <v>vis</v>
      </c>
      <c r="E37">
        <f>VLOOKUP(C37,Active!C$21:E$973,3,FALSE)</f>
        <v>62.970930762915081</v>
      </c>
      <c r="F37" s="15" t="s">
        <v>68</v>
      </c>
      <c r="G37" t="str">
        <f t="shared" si="4"/>
        <v>38879.362</v>
      </c>
      <c r="H37" s="25">
        <f t="shared" si="5"/>
        <v>63</v>
      </c>
      <c r="I37" s="51" t="s">
        <v>164</v>
      </c>
      <c r="J37" s="52" t="s">
        <v>165</v>
      </c>
      <c r="K37" s="51">
        <v>63</v>
      </c>
      <c r="L37" s="51" t="s">
        <v>166</v>
      </c>
      <c r="M37" s="52" t="s">
        <v>123</v>
      </c>
      <c r="N37" s="52"/>
      <c r="O37" s="53" t="s">
        <v>124</v>
      </c>
      <c r="P37" s="53" t="s">
        <v>42</v>
      </c>
    </row>
    <row r="38" spans="1:16" ht="12.75" customHeight="1" x14ac:dyDescent="0.2">
      <c r="A38" s="25" t="str">
        <f t="shared" si="0"/>
        <v> PZ 17.86 </v>
      </c>
      <c r="B38" s="15" t="str">
        <f t="shared" si="1"/>
        <v>I</v>
      </c>
      <c r="C38" s="25">
        <f t="shared" si="2"/>
        <v>38883.356</v>
      </c>
      <c r="D38" t="str">
        <f t="shared" si="3"/>
        <v>vis</v>
      </c>
      <c r="E38">
        <f>VLOOKUP(C38,Active!C$21:E$973,3,FALSE)</f>
        <v>66.007084866359293</v>
      </c>
      <c r="F38" s="15" t="s">
        <v>68</v>
      </c>
      <c r="G38" t="str">
        <f t="shared" si="4"/>
        <v>38883.356</v>
      </c>
      <c r="H38" s="25">
        <f t="shared" si="5"/>
        <v>66</v>
      </c>
      <c r="I38" s="51" t="s">
        <v>167</v>
      </c>
      <c r="J38" s="52" t="s">
        <v>168</v>
      </c>
      <c r="K38" s="51">
        <v>66</v>
      </c>
      <c r="L38" s="51" t="s">
        <v>169</v>
      </c>
      <c r="M38" s="52" t="s">
        <v>123</v>
      </c>
      <c r="N38" s="52"/>
      <c r="O38" s="53" t="s">
        <v>124</v>
      </c>
      <c r="P38" s="53" t="s">
        <v>42</v>
      </c>
    </row>
    <row r="39" spans="1:16" ht="12.75" customHeight="1" x14ac:dyDescent="0.2">
      <c r="A39" s="25" t="str">
        <f t="shared" si="0"/>
        <v> PZ 17.86 </v>
      </c>
      <c r="B39" s="15" t="str">
        <f t="shared" si="1"/>
        <v>I</v>
      </c>
      <c r="C39" s="25">
        <f t="shared" si="2"/>
        <v>38912.283000000003</v>
      </c>
      <c r="D39" t="str">
        <f t="shared" si="3"/>
        <v>vis</v>
      </c>
      <c r="E39">
        <f>VLOOKUP(C39,Active!C$21:E$973,3,FALSE)</f>
        <v>87.996776841914453</v>
      </c>
      <c r="F39" s="15" t="s">
        <v>68</v>
      </c>
      <c r="G39" t="str">
        <f t="shared" si="4"/>
        <v>38912.283</v>
      </c>
      <c r="H39" s="25">
        <f t="shared" si="5"/>
        <v>88</v>
      </c>
      <c r="I39" s="51" t="s">
        <v>170</v>
      </c>
      <c r="J39" s="52" t="s">
        <v>171</v>
      </c>
      <c r="K39" s="51">
        <v>88</v>
      </c>
      <c r="L39" s="51" t="s">
        <v>172</v>
      </c>
      <c r="M39" s="52" t="s">
        <v>123</v>
      </c>
      <c r="N39" s="52"/>
      <c r="O39" s="53" t="s">
        <v>124</v>
      </c>
      <c r="P39" s="53" t="s">
        <v>42</v>
      </c>
    </row>
    <row r="40" spans="1:16" ht="12.75" customHeight="1" x14ac:dyDescent="0.2">
      <c r="A40" s="25" t="str">
        <f t="shared" si="0"/>
        <v> PZ 17.86 </v>
      </c>
      <c r="B40" s="15" t="str">
        <f t="shared" si="1"/>
        <v>I</v>
      </c>
      <c r="C40" s="25">
        <f t="shared" si="2"/>
        <v>38937.271999999997</v>
      </c>
      <c r="D40" t="str">
        <f t="shared" si="3"/>
        <v>vis</v>
      </c>
      <c r="E40">
        <f>VLOOKUP(C40,Active!C$21:E$973,3,FALSE)</f>
        <v>106.99288472648445</v>
      </c>
      <c r="F40" s="15" t="s">
        <v>68</v>
      </c>
      <c r="G40" t="str">
        <f t="shared" si="4"/>
        <v>38937.272</v>
      </c>
      <c r="H40" s="25">
        <f t="shared" si="5"/>
        <v>107</v>
      </c>
      <c r="I40" s="51" t="s">
        <v>173</v>
      </c>
      <c r="J40" s="52" t="s">
        <v>174</v>
      </c>
      <c r="K40" s="51">
        <v>107</v>
      </c>
      <c r="L40" s="51" t="s">
        <v>175</v>
      </c>
      <c r="M40" s="52" t="s">
        <v>123</v>
      </c>
      <c r="N40" s="52"/>
      <c r="O40" s="53" t="s">
        <v>124</v>
      </c>
      <c r="P40" s="53" t="s">
        <v>42</v>
      </c>
    </row>
    <row r="41" spans="1:16" ht="12.75" customHeight="1" x14ac:dyDescent="0.2">
      <c r="A41" s="25" t="str">
        <f t="shared" si="0"/>
        <v> PZ 17.86 </v>
      </c>
      <c r="B41" s="15" t="str">
        <f t="shared" si="1"/>
        <v>I</v>
      </c>
      <c r="C41" s="25">
        <f t="shared" si="2"/>
        <v>38941.218999999997</v>
      </c>
      <c r="D41" t="str">
        <f t="shared" si="3"/>
        <v>vis</v>
      </c>
      <c r="E41">
        <f>VLOOKUP(C41,Active!C$21:E$973,3,FALSE)</f>
        <v>109.9933104266092</v>
      </c>
      <c r="F41" s="15" t="s">
        <v>68</v>
      </c>
      <c r="G41" t="str">
        <f t="shared" si="4"/>
        <v>38941.219</v>
      </c>
      <c r="H41" s="25">
        <f t="shared" si="5"/>
        <v>110</v>
      </c>
      <c r="I41" s="51" t="s">
        <v>176</v>
      </c>
      <c r="J41" s="52" t="s">
        <v>177</v>
      </c>
      <c r="K41" s="51">
        <v>110</v>
      </c>
      <c r="L41" s="51" t="s">
        <v>175</v>
      </c>
      <c r="M41" s="52" t="s">
        <v>123</v>
      </c>
      <c r="N41" s="52"/>
      <c r="O41" s="53" t="s">
        <v>124</v>
      </c>
      <c r="P41" s="53" t="s">
        <v>42</v>
      </c>
    </row>
    <row r="42" spans="1:16" ht="12.75" customHeight="1" x14ac:dyDescent="0.2">
      <c r="A42" s="25" t="str">
        <f t="shared" si="0"/>
        <v> PZ 17.86 </v>
      </c>
      <c r="B42" s="15" t="str">
        <f t="shared" si="1"/>
        <v>I</v>
      </c>
      <c r="C42" s="25">
        <f t="shared" si="2"/>
        <v>38966.192000000003</v>
      </c>
      <c r="D42" t="str">
        <f t="shared" si="3"/>
        <v>vis</v>
      </c>
      <c r="E42">
        <f>VLOOKUP(C42,Active!C$21:E$973,3,FALSE)</f>
        <v>128.97725545048291</v>
      </c>
      <c r="F42" s="15" t="s">
        <v>68</v>
      </c>
      <c r="G42" t="str">
        <f t="shared" si="4"/>
        <v>38966.192</v>
      </c>
      <c r="H42" s="25">
        <f t="shared" si="5"/>
        <v>129</v>
      </c>
      <c r="I42" s="51" t="s">
        <v>178</v>
      </c>
      <c r="J42" s="52" t="s">
        <v>179</v>
      </c>
      <c r="K42" s="51">
        <v>129</v>
      </c>
      <c r="L42" s="51" t="s">
        <v>180</v>
      </c>
      <c r="M42" s="52" t="s">
        <v>123</v>
      </c>
      <c r="N42" s="52"/>
      <c r="O42" s="53" t="s">
        <v>124</v>
      </c>
      <c r="P42" s="53" t="s">
        <v>42</v>
      </c>
    </row>
    <row r="43" spans="1:16" ht="12.75" customHeight="1" x14ac:dyDescent="0.2">
      <c r="A43" s="25" t="str">
        <f t="shared" si="0"/>
        <v> AAP 61.107 </v>
      </c>
      <c r="B43" s="15" t="str">
        <f t="shared" si="1"/>
        <v>I</v>
      </c>
      <c r="C43" s="25">
        <f t="shared" si="2"/>
        <v>42191.795899999997</v>
      </c>
      <c r="D43" t="str">
        <f t="shared" si="3"/>
        <v>vis</v>
      </c>
      <c r="E43">
        <f>VLOOKUP(C43,Active!C$21:E$973,3,FALSE)</f>
        <v>2581.0129382430719</v>
      </c>
      <c r="F43" s="15" t="s">
        <v>68</v>
      </c>
      <c r="G43" t="str">
        <f t="shared" si="4"/>
        <v>42191.7959</v>
      </c>
      <c r="H43" s="25">
        <f t="shared" si="5"/>
        <v>2581</v>
      </c>
      <c r="I43" s="51" t="s">
        <v>181</v>
      </c>
      <c r="J43" s="52" t="s">
        <v>182</v>
      </c>
      <c r="K43" s="51">
        <v>2581</v>
      </c>
      <c r="L43" s="51" t="s">
        <v>183</v>
      </c>
      <c r="M43" s="52" t="s">
        <v>83</v>
      </c>
      <c r="N43" s="52" t="s">
        <v>84</v>
      </c>
      <c r="O43" s="53" t="s">
        <v>184</v>
      </c>
      <c r="P43" s="53" t="s">
        <v>45</v>
      </c>
    </row>
    <row r="44" spans="1:16" ht="12.75" customHeight="1" x14ac:dyDescent="0.2">
      <c r="A44" s="25" t="str">
        <f t="shared" si="0"/>
        <v> JAVSO 26.14 </v>
      </c>
      <c r="B44" s="15" t="str">
        <f t="shared" si="1"/>
        <v>I</v>
      </c>
      <c r="C44" s="25">
        <f t="shared" si="2"/>
        <v>50184.752999999997</v>
      </c>
      <c r="D44" t="str">
        <f t="shared" si="3"/>
        <v>vis</v>
      </c>
      <c r="E44">
        <f>VLOOKUP(C44,Active!C$21:E$973,3,FALSE)</f>
        <v>8657.0894274333295</v>
      </c>
      <c r="F44" s="15" t="s">
        <v>68</v>
      </c>
      <c r="G44" t="str">
        <f t="shared" si="4"/>
        <v>50184.753</v>
      </c>
      <c r="H44" s="25">
        <f t="shared" si="5"/>
        <v>8657</v>
      </c>
      <c r="I44" s="51" t="s">
        <v>185</v>
      </c>
      <c r="J44" s="52" t="s">
        <v>186</v>
      </c>
      <c r="K44" s="51">
        <v>8657</v>
      </c>
      <c r="L44" s="51" t="s">
        <v>187</v>
      </c>
      <c r="M44" s="52" t="s">
        <v>83</v>
      </c>
      <c r="N44" s="52" t="s">
        <v>84</v>
      </c>
      <c r="O44" s="53" t="s">
        <v>188</v>
      </c>
      <c r="P44" s="53" t="s">
        <v>50</v>
      </c>
    </row>
    <row r="45" spans="1:16" ht="12.75" customHeight="1" x14ac:dyDescent="0.2">
      <c r="A45" s="25" t="str">
        <f t="shared" si="0"/>
        <v>IBVS 5694 </v>
      </c>
      <c r="B45" s="15" t="str">
        <f t="shared" si="1"/>
        <v>I</v>
      </c>
      <c r="C45" s="25">
        <f t="shared" si="2"/>
        <v>52726.2719</v>
      </c>
      <c r="D45" t="str">
        <f t="shared" si="3"/>
        <v>vis</v>
      </c>
      <c r="E45">
        <f>VLOOKUP(C45,Active!C$21:E$973,3,FALSE)</f>
        <v>10589.098199896614</v>
      </c>
      <c r="F45" s="15" t="s">
        <v>68</v>
      </c>
      <c r="G45" t="str">
        <f t="shared" si="4"/>
        <v>52726.2719</v>
      </c>
      <c r="H45" s="25">
        <f t="shared" si="5"/>
        <v>10589</v>
      </c>
      <c r="I45" s="51" t="s">
        <v>189</v>
      </c>
      <c r="J45" s="52" t="s">
        <v>190</v>
      </c>
      <c r="K45" s="51">
        <v>10589</v>
      </c>
      <c r="L45" s="51" t="s">
        <v>191</v>
      </c>
      <c r="M45" s="52" t="s">
        <v>83</v>
      </c>
      <c r="N45" s="52" t="s">
        <v>84</v>
      </c>
      <c r="O45" s="53" t="s">
        <v>192</v>
      </c>
      <c r="P45" s="54" t="s">
        <v>52</v>
      </c>
    </row>
    <row r="46" spans="1:16" ht="12.75" customHeight="1" x14ac:dyDescent="0.2">
      <c r="A46" s="25" t="str">
        <f t="shared" si="0"/>
        <v>VSB 46 </v>
      </c>
      <c r="B46" s="15" t="str">
        <f t="shared" si="1"/>
        <v>I</v>
      </c>
      <c r="C46" s="25">
        <f t="shared" si="2"/>
        <v>54144.349399999999</v>
      </c>
      <c r="D46" t="str">
        <f t="shared" si="3"/>
        <v>vis</v>
      </c>
      <c r="E46">
        <f>VLOOKUP(C46,Active!C$21:E$973,3,FALSE)</f>
        <v>11667.090643719401</v>
      </c>
      <c r="F46" s="15" t="s">
        <v>68</v>
      </c>
      <c r="G46" t="str">
        <f t="shared" si="4"/>
        <v>54144.3494</v>
      </c>
      <c r="H46" s="25">
        <f t="shared" si="5"/>
        <v>11667</v>
      </c>
      <c r="I46" s="51" t="s">
        <v>193</v>
      </c>
      <c r="J46" s="52" t="s">
        <v>194</v>
      </c>
      <c r="K46" s="51">
        <v>11667</v>
      </c>
      <c r="L46" s="51" t="s">
        <v>195</v>
      </c>
      <c r="M46" s="52" t="s">
        <v>90</v>
      </c>
      <c r="N46" s="52" t="s">
        <v>196</v>
      </c>
      <c r="O46" s="53" t="s">
        <v>197</v>
      </c>
      <c r="P46" s="54" t="s">
        <v>55</v>
      </c>
    </row>
    <row r="47" spans="1:16" ht="12.75" customHeight="1" x14ac:dyDescent="0.2">
      <c r="A47" s="25" t="str">
        <f t="shared" si="0"/>
        <v>VSB 46 </v>
      </c>
      <c r="B47" s="15" t="str">
        <f t="shared" si="1"/>
        <v>I</v>
      </c>
      <c r="C47" s="25">
        <f t="shared" si="2"/>
        <v>54177.241000000002</v>
      </c>
      <c r="D47" t="str">
        <f t="shared" si="3"/>
        <v>vis</v>
      </c>
      <c r="E47">
        <f>VLOOKUP(C47,Active!C$21:E$973,3,FALSE)</f>
        <v>11692.094140541856</v>
      </c>
      <c r="F47" s="15" t="s">
        <v>68</v>
      </c>
      <c r="G47" t="str">
        <f t="shared" si="4"/>
        <v>54177.241</v>
      </c>
      <c r="H47" s="25">
        <f t="shared" si="5"/>
        <v>11692</v>
      </c>
      <c r="I47" s="51" t="s">
        <v>198</v>
      </c>
      <c r="J47" s="52" t="s">
        <v>199</v>
      </c>
      <c r="K47" s="51">
        <v>11692</v>
      </c>
      <c r="L47" s="51" t="s">
        <v>200</v>
      </c>
      <c r="M47" s="52" t="s">
        <v>72</v>
      </c>
      <c r="N47" s="52"/>
      <c r="O47" s="53" t="s">
        <v>201</v>
      </c>
      <c r="P47" s="54" t="s">
        <v>55</v>
      </c>
    </row>
    <row r="48" spans="1:16" ht="12.75" customHeight="1" x14ac:dyDescent="0.2">
      <c r="A48" s="25" t="str">
        <f t="shared" si="0"/>
        <v>VSB 46 </v>
      </c>
      <c r="B48" s="15" t="str">
        <f t="shared" si="1"/>
        <v>I</v>
      </c>
      <c r="C48" s="25">
        <f t="shared" si="2"/>
        <v>54243.03</v>
      </c>
      <c r="D48" t="str">
        <f t="shared" si="3"/>
        <v>vis</v>
      </c>
      <c r="E48">
        <f>VLOOKUP(C48,Active!C$21:E$973,3,FALSE)</f>
        <v>11742.105543223764</v>
      </c>
      <c r="F48" s="15" t="s">
        <v>68</v>
      </c>
      <c r="G48" t="str">
        <f t="shared" si="4"/>
        <v>54243.030</v>
      </c>
      <c r="H48" s="25">
        <f t="shared" si="5"/>
        <v>11742</v>
      </c>
      <c r="I48" s="51" t="s">
        <v>202</v>
      </c>
      <c r="J48" s="52" t="s">
        <v>203</v>
      </c>
      <c r="K48" s="51">
        <v>11742</v>
      </c>
      <c r="L48" s="51" t="s">
        <v>204</v>
      </c>
      <c r="M48" s="52" t="s">
        <v>72</v>
      </c>
      <c r="N48" s="52"/>
      <c r="O48" s="53" t="s">
        <v>201</v>
      </c>
      <c r="P48" s="54" t="s">
        <v>55</v>
      </c>
    </row>
    <row r="49" spans="1:16" ht="12.75" customHeight="1" x14ac:dyDescent="0.2">
      <c r="A49" s="25" t="str">
        <f t="shared" si="0"/>
        <v>VSB 48 </v>
      </c>
      <c r="B49" s="15" t="str">
        <f t="shared" si="1"/>
        <v>I</v>
      </c>
      <c r="C49" s="25">
        <f t="shared" si="2"/>
        <v>54527.146000000001</v>
      </c>
      <c r="D49" t="str">
        <f t="shared" si="3"/>
        <v>vis</v>
      </c>
      <c r="E49">
        <f>VLOOKUP(C49,Active!C$21:E$973,3,FALSE)</f>
        <v>11958.084501474747</v>
      </c>
      <c r="F49" s="15" t="s">
        <v>68</v>
      </c>
      <c r="G49" t="str">
        <f t="shared" si="4"/>
        <v>54527.146</v>
      </c>
      <c r="H49" s="25">
        <f t="shared" si="5"/>
        <v>11958</v>
      </c>
      <c r="I49" s="51" t="s">
        <v>205</v>
      </c>
      <c r="J49" s="52" t="s">
        <v>206</v>
      </c>
      <c r="K49" s="51">
        <v>11958</v>
      </c>
      <c r="L49" s="51" t="s">
        <v>207</v>
      </c>
      <c r="M49" s="52" t="s">
        <v>72</v>
      </c>
      <c r="N49" s="52"/>
      <c r="O49" s="53" t="s">
        <v>201</v>
      </c>
      <c r="P49" s="54" t="s">
        <v>56</v>
      </c>
    </row>
  </sheetData>
  <sheetProtection selectLockedCells="1" selectUnlockedCells="1"/>
  <hyperlinks>
    <hyperlink ref="P13" r:id="rId1" xr:uid="{00000000-0004-0000-0100-000000000000}"/>
    <hyperlink ref="P14" r:id="rId2" xr:uid="{00000000-0004-0000-0100-000001000000}"/>
    <hyperlink ref="P15" r:id="rId3" xr:uid="{00000000-0004-0000-0100-000002000000}"/>
    <hyperlink ref="P16" r:id="rId4" xr:uid="{00000000-0004-0000-0100-000003000000}"/>
    <hyperlink ref="P17" r:id="rId5" xr:uid="{00000000-0004-0000-0100-000004000000}"/>
    <hyperlink ref="P18" r:id="rId6" xr:uid="{00000000-0004-0000-0100-000005000000}"/>
    <hyperlink ref="P19" r:id="rId7" xr:uid="{00000000-0004-0000-0100-000006000000}"/>
    <hyperlink ref="P20" r:id="rId8" xr:uid="{00000000-0004-0000-0100-000007000000}"/>
    <hyperlink ref="P21" r:id="rId9" xr:uid="{00000000-0004-0000-0100-000008000000}"/>
    <hyperlink ref="P22" r:id="rId10" xr:uid="{00000000-0004-0000-0100-000009000000}"/>
    <hyperlink ref="P45" r:id="rId11" xr:uid="{00000000-0004-0000-0100-00000A000000}"/>
    <hyperlink ref="P46" r:id="rId12" xr:uid="{00000000-0004-0000-0100-00000B000000}"/>
    <hyperlink ref="P47" r:id="rId13" xr:uid="{00000000-0004-0000-0100-00000C000000}"/>
    <hyperlink ref="P48" r:id="rId14" xr:uid="{00000000-0004-0000-0100-00000D000000}"/>
    <hyperlink ref="P49" r:id="rId15" xr:uid="{00000000-0004-0000-0100-00000E000000}"/>
  </hyperlinks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dcterms:created xsi:type="dcterms:W3CDTF">2022-04-03T03:13:38Z</dcterms:created>
  <dcterms:modified xsi:type="dcterms:W3CDTF">2024-03-09T05:45:00Z</dcterms:modified>
</cp:coreProperties>
</file>