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2448C08-C083-4ECD-9BD9-03744DAC7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Q22" i="1"/>
  <c r="Q23" i="1"/>
  <c r="Q24" i="1"/>
  <c r="Q25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 l="1"/>
  <c r="O26" i="1" l="1"/>
  <c r="S26" i="1" s="1"/>
  <c r="O21" i="1"/>
  <c r="S21" i="1" s="1"/>
  <c r="O24" i="1"/>
  <c r="S24" i="1" s="1"/>
  <c r="O22" i="1"/>
  <c r="S22" i="1" s="1"/>
  <c r="O25" i="1"/>
  <c r="S25" i="1" s="1"/>
  <c r="C16" i="1"/>
  <c r="D18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<sst xmlns="http://schemas.openxmlformats.org/spreadsheetml/2006/main" count="63" uniqueCount="55">
  <si>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</si>
  <si>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</si>
  <si>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</si>
  <si>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</si>
  <si>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</si>
  <si>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</si>
  <si>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</si>
  <si>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</si>
  <si>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</si>
  <si>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</si>
  <si>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</si>
  <si>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</si>
  <si>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</si>
  <si>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</si>
  <si>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</si>
  <si>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</si>
  <si>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</si>
  <si>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</si>
  <si>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</si>
  <si>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</si>
  <si>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</si>
  <si>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</si>
  <si>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</si>
  <si>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</si>
  <si>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</si>
  <si>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</si>
  <si>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</si>
  <si>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</si>
  <si>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</si>
  <si>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</si>
  <si>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</si>
  <si>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</si>
  <si>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</si>
  <si>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</si>
  <si>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</si>
  <si>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</si>
  <si>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</si>
  <si>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</si>
  <si>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</si>
  <si>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</si>
  <si>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G5519-1371</t>
  </si>
  <si>
    <t>GSC 5519-1371</t>
  </si>
  <si>
    <t>G5519-1371_Vir.xls</t>
  </si>
  <si>
    <t>EC</t>
  </si>
  <si>
    <t>Vir</t>
  </si>
  <si>
    <t>VSX</t>
  </si>
  <si>
    <t>IBVS 5992</t>
  </si>
  <si>
    <t>I</t>
  </si>
  <si>
    <t>IBVS 6029</t>
  </si>
  <si>
    <t>II</t>
  </si>
  <si>
    <t xml:space="preserve"> esv</t>
  </si>
  <si>
    <t>JBAV, 63</t>
  </si>
  <si>
    <t>vis</t>
  </si>
  <si>
    <t>CCD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</si>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</sst>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5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5519-1371 -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97-4CE5-8404-62F311F26E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97-4CE5-8404-62F311F26E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97-4CE5-8404-62F311F26E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-5.2665499897557311E-2</c:v>
                </c:pt>
                <c:pt idx="2">
                  <c:v>-6.0611499902734067E-2</c:v>
                </c:pt>
                <c:pt idx="3">
                  <c:v>-6.1020999899483286E-2</c:v>
                </c:pt>
                <c:pt idx="4">
                  <c:v>-5.9315499900549185E-2</c:v>
                </c:pt>
                <c:pt idx="5">
                  <c:v>2.9582500101241749E-2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97-4CE5-8404-62F311F26E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97-4CE5-8404-62F311F26E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97-4CE5-8404-62F311F26E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97-4CE5-8404-62F311F26E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-4.7259451666069853E-2</c:v>
                </c:pt>
                <c:pt idx="1">
                  <c:v>-3.4864635481176298E-2</c:v>
                </c:pt>
                <c:pt idx="2">
                  <c:v>-3.3614328491070961E-2</c:v>
                </c:pt>
                <c:pt idx="3">
                  <c:v>-3.3613859860265077E-2</c:v>
                </c:pt>
                <c:pt idx="4">
                  <c:v>-3.3411879982927967E-2</c:v>
                </c:pt>
                <c:pt idx="5">
                  <c:v>-2.1266844017571944E-2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97-4CE5-8404-62F311F26E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13224.5</c:v>
                </c:pt>
                <c:pt idx="2">
                  <c:v>14558.5</c:v>
                </c:pt>
                <c:pt idx="3">
                  <c:v>14559</c:v>
                </c:pt>
                <c:pt idx="4">
                  <c:v>14774.5</c:v>
                </c:pt>
                <c:pt idx="5">
                  <c:v>27732.5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97-4CE5-8404-62F311F26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896528"/>
        <c:axId val="1"/>
      </c:scatterChart>
      <c:valAx>
        <c:axId val="58089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896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71B0DE-70E3-17F6-7B92-17CBDFBD7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 x14ac:dyDescent="0.2">
      <c r="A1" s="36" t="s">
        <v>41</v>
      </c>
      <c r="E1" s="7" t="s">
        <v>42</v>
      </c>
    </row>
    <row r="2" spans="1:7" s="7" customFormat="1" ht="12.95" customHeight="1" x14ac:dyDescent="0.2">
      <c r="A2" s="7" t="s">
        <v>23</v>
      </c>
      <c r="B2" s="7" t="s">
        <v>43</v>
      </c>
      <c r="C2" s="8" t="s">
        <v>39</v>
      </c>
      <c r="D2" s="9" t="s">
        <v>44</v>
      </c>
      <c r="E2" s="2" t="s">
        <v>40</v>
      </c>
      <c r="F2" s="10" t="s">
        <v>50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1" t="s">
        <v>0</v>
      </c>
      <c r="C4" s="12" t="s">
        <v>38</v>
      </c>
      <c r="D4" s="13" t="s">
        <v>38</v>
      </c>
    </row>
    <row r="5" spans="1:7" s="7" customFormat="1" ht="12.95" customHeight="1" x14ac:dyDescent="0.2"/>
    <row r="6" spans="1:7" s="7" customFormat="1" ht="12.95" customHeight="1" x14ac:dyDescent="0.2">
      <c r="A6" s="11" t="s">
        <v>1</v>
      </c>
    </row>
    <row r="7" spans="1:7" s="7" customFormat="1" ht="12.95" customHeight="1" x14ac:dyDescent="0.2">
      <c r="A7" s="7" t="s">
        <v>2</v>
      </c>
      <c r="C7" s="37">
        <v>51876.041999999899</v>
      </c>
      <c r="D7" s="15" t="s">
        <v>45</v>
      </c>
    </row>
    <row r="8" spans="1:7" s="7" customFormat="1" ht="12.95" customHeight="1" x14ac:dyDescent="0.2">
      <c r="A8" s="7" t="s">
        <v>3</v>
      </c>
      <c r="C8" s="37">
        <v>0.28181899999999999</v>
      </c>
      <c r="D8" s="15" t="s">
        <v>45</v>
      </c>
    </row>
    <row r="9" spans="1:7" s="7" customFormat="1" ht="12.95" customHeight="1" x14ac:dyDescent="0.2">
      <c r="A9" s="16" t="s">
        <v>28</v>
      </c>
      <c r="C9" s="17">
        <v>-9.5</v>
      </c>
      <c r="D9" s="7" t="s">
        <v>29</v>
      </c>
    </row>
    <row r="10" spans="1:7" s="7" customFormat="1" ht="12.95" customHeight="1" thickBot="1" x14ac:dyDescent="0.25">
      <c r="C10" s="18" t="s">
        <v>19</v>
      </c>
      <c r="D10" s="18" t="s">
        <v>20</v>
      </c>
    </row>
    <row r="11" spans="1:7" s="7" customFormat="1" ht="12.95" customHeight="1" x14ac:dyDescent="0.2">
      <c r="A11" s="7" t="s">
        <v>15</v>
      </c>
      <c r="C11" s="19">
        <f ca="1">INTERCEPT(INDIRECT($G$11):G992,INDIRECT($F$11):F992)</f>
        <v>-4.7259451666069853E-2</v>
      </c>
      <c r="D11" s="9"/>
      <c r="F11" s="20" t="str">
        <f>"F"&amp;E19</f>
        <v>F21</v>
      </c>
      <c r="G11" s="19" t="str">
        <f>"G"&amp;E19</f>
        <v>G21</v>
      </c>
    </row>
    <row r="12" spans="1:7" s="7" customFormat="1" ht="12.95" customHeight="1" x14ac:dyDescent="0.2">
      <c r="A12" s="7" t="s">
        <v>16</v>
      </c>
      <c r="C12" s="19">
        <f ca="1">SLOPE(INDIRECT($G$11):G992,INDIRECT($F$11):F992)</f>
        <v>9.3726161177311491E-7</v>
      </c>
      <c r="D12" s="9"/>
    </row>
    <row r="13" spans="1:7" s="7" customFormat="1" ht="12.95" customHeight="1" x14ac:dyDescent="0.2">
      <c r="A13" s="7" t="s">
        <v>18</v>
      </c>
      <c r="C13" s="9" t="s">
        <v>13</v>
      </c>
      <c r="D13" s="21" t="s">
        <v>35</v>
      </c>
      <c r="E13" s="17">
        <v>1</v>
      </c>
    </row>
    <row r="14" spans="1:7" s="7" customFormat="1" ht="12.95" customHeight="1" x14ac:dyDescent="0.2">
      <c r="D14" s="21" t="s">
        <v>30</v>
      </c>
      <c r="E14" s="22">
        <f ca="1">NOW()+15018.5+$C$9/24</f>
        <v>60378.785163773144</v>
      </c>
    </row>
    <row r="15" spans="1:7" s="7" customFormat="1" ht="12.95" customHeight="1" x14ac:dyDescent="0.2">
      <c r="A15" s="23" t="s">
        <v>17</v>
      </c>
      <c r="C15" s="24">
        <f ca="1">(C7+C11)+(C8+C12)*INT(MAX(F21:F3533))</f>
        <v>59691.425240687247</v>
      </c>
      <c r="D15" s="21" t="s">
        <v>36</v>
      </c>
      <c r="E15" s="22">
        <f ca="1">ROUND(2*(E14-$C$7)/$C$8,0)/2+E13</f>
        <v>30172</v>
      </c>
    </row>
    <row r="16" spans="1:7" s="7" customFormat="1" ht="12.95" customHeight="1" x14ac:dyDescent="0.2">
      <c r="A16" s="11" t="s">
        <v>4</v>
      </c>
      <c r="C16" s="25">
        <f ca="1">+C8+C12</f>
        <v>0.28181993726161175</v>
      </c>
      <c r="D16" s="21" t="s">
        <v>37</v>
      </c>
      <c r="E16" s="19">
        <f ca="1">ROUND(2*(E14-$C$15)/$C$16,0)/2+E13</f>
        <v>2440</v>
      </c>
    </row>
    <row r="17" spans="1:19" s="7" customFormat="1" ht="12.95" customHeight="1" thickBot="1" x14ac:dyDescent="0.25">
      <c r="A17" s="21" t="s">
        <v>27</v>
      </c>
      <c r="C17" s="7">
        <f>COUNT(C21:C2191)</f>
        <v>6</v>
      </c>
      <c r="D17" s="21" t="s">
        <v>31</v>
      </c>
      <c r="E17" s="26">
        <f ca="1">+$C$15+$C$16*E16-15018.5-$C$9/24</f>
        <v>45360.961720938918</v>
      </c>
    </row>
    <row r="18" spans="1:19" s="7" customFormat="1" ht="12.95" customHeight="1" thickTop="1" thickBot="1" x14ac:dyDescent="0.25">
      <c r="A18" s="11" t="s">
        <v>5</v>
      </c>
      <c r="C18" s="27">
        <f ca="1">+C15</f>
        <v>59691.425240687247</v>
      </c>
      <c r="D18" s="28">
        <f ca="1">+C16</f>
        <v>0.28181993726161175</v>
      </c>
      <c r="E18" s="29" t="s">
        <v>32</v>
      </c>
    </row>
    <row r="19" spans="1:19" s="7" customFormat="1" ht="12.95" customHeight="1" thickTop="1" x14ac:dyDescent="0.2">
      <c r="A19" s="30" t="s">
        <v>33</v>
      </c>
      <c r="E19" s="31">
        <v>21</v>
      </c>
      <c r="S19" s="7">
        <f ca="1">SQRT(SUM(S21:S50)/(COUNT(S21:S50)-1))</f>
        <v>3.8175852203344789E-2</v>
      </c>
    </row>
    <row r="20" spans="1:19" s="7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52</v>
      </c>
      <c r="J20" s="32" t="s">
        <v>54</v>
      </c>
      <c r="K20" s="32" t="s">
        <v>53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18" t="s">
        <v>14</v>
      </c>
      <c r="R20" s="34" t="s">
        <v>34</v>
      </c>
    </row>
    <row r="21" spans="1:19" s="7" customFormat="1" ht="12.95" customHeight="1" x14ac:dyDescent="0.2">
      <c r="A21" s="7" t="str">
        <f>D7</f>
        <v>VSX</v>
      </c>
      <c r="C21" s="14">
        <f>C$7</f>
        <v>51876.041999999899</v>
      </c>
      <c r="D21" s="14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>+G21</f>
        <v>0</v>
      </c>
      <c r="O21" s="7">
        <f t="shared" ref="O21:O26" ca="1" si="3">+C$11+C$12*$F21</f>
        <v>-4.7259451666069853E-2</v>
      </c>
      <c r="Q21" s="35">
        <f t="shared" ref="Q21:Q26" si="4">+C21-15018.5</f>
        <v>36857.541999999899</v>
      </c>
      <c r="S21" s="7">
        <f t="shared" ref="S21:S26" ca="1" si="5">+(O21-G21)^2</f>
        <v>2.2334557717775924E-3</v>
      </c>
    </row>
    <row r="22" spans="1:19" s="7" customFormat="1" ht="12.95" customHeight="1" x14ac:dyDescent="0.2">
      <c r="A22" s="3" t="s">
        <v>46</v>
      </c>
      <c r="B22" s="4" t="s">
        <v>47</v>
      </c>
      <c r="C22" s="3">
        <v>55602.904699999999</v>
      </c>
      <c r="D22" s="3">
        <v>2.9999999999999997E-4</v>
      </c>
      <c r="E22" s="7">
        <f t="shared" si="0"/>
        <v>13224.313122962256</v>
      </c>
      <c r="F22" s="7">
        <f t="shared" si="1"/>
        <v>13224.5</v>
      </c>
      <c r="G22" s="7">
        <f t="shared" si="2"/>
        <v>-5.2665499897557311E-2</v>
      </c>
      <c r="K22" s="7">
        <f>+G22</f>
        <v>-5.2665499897557311E-2</v>
      </c>
      <c r="O22" s="7">
        <f t="shared" ca="1" si="3"/>
        <v>-3.4864635481176298E-2</v>
      </c>
      <c r="Q22" s="35">
        <f t="shared" si="4"/>
        <v>40584.404699999999</v>
      </c>
      <c r="S22" s="7">
        <f t="shared" ca="1" si="5"/>
        <v>3.1687077397037972E-4</v>
      </c>
    </row>
    <row r="23" spans="1:19" s="7" customFormat="1" ht="12.95" customHeight="1" x14ac:dyDescent="0.2">
      <c r="A23" s="3" t="s">
        <v>48</v>
      </c>
      <c r="B23" s="4" t="s">
        <v>47</v>
      </c>
      <c r="C23" s="3">
        <v>55978.8433</v>
      </c>
      <c r="D23" s="3">
        <v>2.9999999999999997E-4</v>
      </c>
      <c r="E23" s="7">
        <f t="shared" si="0"/>
        <v>14558.284927560248</v>
      </c>
      <c r="F23" s="7">
        <f t="shared" si="1"/>
        <v>14558.5</v>
      </c>
      <c r="G23" s="7">
        <f t="shared" si="2"/>
        <v>-6.0611499902734067E-2</v>
      </c>
      <c r="K23" s="7">
        <f>+G23</f>
        <v>-6.0611499902734067E-2</v>
      </c>
      <c r="O23" s="7">
        <f t="shared" ca="1" si="3"/>
        <v>-3.3614328491070961E-2</v>
      </c>
      <c r="Q23" s="35">
        <f t="shared" si="4"/>
        <v>40960.3433</v>
      </c>
      <c r="S23" s="7">
        <f t="shared" ca="1" si="5"/>
        <v>7.2884726423071979E-4</v>
      </c>
    </row>
    <row r="24" spans="1:19" s="7" customFormat="1" ht="12.95" customHeight="1" x14ac:dyDescent="0.2">
      <c r="A24" s="3" t="s">
        <v>48</v>
      </c>
      <c r="B24" s="4" t="s">
        <v>49</v>
      </c>
      <c r="C24" s="3">
        <v>55978.983800000002</v>
      </c>
      <c r="D24" s="3">
        <v>5.9999999999999995E-4</v>
      </c>
      <c r="E24" s="7">
        <f t="shared" si="0"/>
        <v>14558.783474499955</v>
      </c>
      <c r="F24" s="7">
        <f t="shared" si="1"/>
        <v>14559</v>
      </c>
      <c r="G24" s="7">
        <f t="shared" si="2"/>
        <v>-6.1020999899483286E-2</v>
      </c>
      <c r="K24" s="7">
        <f>+G24</f>
        <v>-6.1020999899483286E-2</v>
      </c>
      <c r="O24" s="7">
        <f t="shared" ca="1" si="3"/>
        <v>-3.3613859860265077E-2</v>
      </c>
      <c r="Q24" s="35">
        <f t="shared" si="4"/>
        <v>40960.483800000002</v>
      </c>
      <c r="S24" s="7">
        <f t="shared" ca="1" si="5"/>
        <v>7.5115132512931782E-4</v>
      </c>
    </row>
    <row r="25" spans="1:19" s="7" customFormat="1" ht="12.95" customHeight="1" x14ac:dyDescent="0.2">
      <c r="A25" s="3" t="s">
        <v>48</v>
      </c>
      <c r="B25" s="4" t="s">
        <v>47</v>
      </c>
      <c r="C25" s="3">
        <v>56039.717499999999</v>
      </c>
      <c r="D25" s="3">
        <v>5.0000000000000001E-4</v>
      </c>
      <c r="E25" s="7">
        <f t="shared" si="0"/>
        <v>14774.289526256567</v>
      </c>
      <c r="F25" s="7">
        <f t="shared" si="1"/>
        <v>14774.5</v>
      </c>
      <c r="G25" s="7">
        <f t="shared" si="2"/>
        <v>-5.9315499900549185E-2</v>
      </c>
      <c r="K25" s="7">
        <f>+G25</f>
        <v>-5.9315499900549185E-2</v>
      </c>
      <c r="O25" s="7">
        <f t="shared" ca="1" si="3"/>
        <v>-3.3411879982927967E-2</v>
      </c>
      <c r="Q25" s="35">
        <f t="shared" si="4"/>
        <v>41021.217499999999</v>
      </c>
      <c r="S25" s="7">
        <f t="shared" ca="1" si="5"/>
        <v>6.7099752483658272E-4</v>
      </c>
    </row>
    <row r="26" spans="1:19" s="7" customFormat="1" ht="12.95" customHeight="1" x14ac:dyDescent="0.2">
      <c r="A26" s="5" t="s">
        <v>51</v>
      </c>
      <c r="B26" s="6" t="s">
        <v>49</v>
      </c>
      <c r="C26" s="38">
        <v>59691.616999999998</v>
      </c>
      <c r="D26" s="39">
        <v>0.01</v>
      </c>
      <c r="E26" s="7">
        <f t="shared" si="0"/>
        <v>27732.604969856893</v>
      </c>
      <c r="F26" s="7">
        <f t="shared" si="1"/>
        <v>27732.5</v>
      </c>
      <c r="G26" s="7">
        <f t="shared" si="2"/>
        <v>2.9582500101241749E-2</v>
      </c>
      <c r="K26" s="7">
        <f>+G26</f>
        <v>2.9582500101241749E-2</v>
      </c>
      <c r="O26" s="7">
        <f t="shared" ca="1" si="3"/>
        <v>-2.1266844017571944E-2</v>
      </c>
      <c r="Q26" s="35">
        <f t="shared" si="4"/>
        <v>44673.116999999998</v>
      </c>
      <c r="S26" s="7">
        <f t="shared" ca="1" si="5"/>
        <v>2.5856557973135325E-3</v>
      </c>
    </row>
    <row r="27" spans="1:19" s="7" customFormat="1" ht="12.95" customHeight="1" x14ac:dyDescent="0.2">
      <c r="C27" s="14"/>
      <c r="D27" s="14"/>
      <c r="Q27" s="35"/>
    </row>
    <row r="28" spans="1:19" s="7" customFormat="1" ht="12.95" customHeight="1" x14ac:dyDescent="0.2">
      <c r="C28" s="14"/>
      <c r="D28" s="14"/>
      <c r="Q28" s="35"/>
    </row>
    <row r="29" spans="1:19" s="7" customFormat="1" ht="12.95" customHeight="1" x14ac:dyDescent="0.2">
      <c r="C29" s="14"/>
      <c r="D29" s="14"/>
      <c r="Q29" s="35"/>
    </row>
    <row r="30" spans="1:19" s="7" customFormat="1" ht="12.95" customHeight="1" x14ac:dyDescent="0.2">
      <c r="C30" s="14"/>
      <c r="D30" s="14"/>
      <c r="Q30" s="35"/>
    </row>
    <row r="31" spans="1:19" s="7" customFormat="1" ht="12.95" customHeight="1" x14ac:dyDescent="0.2">
      <c r="C31" s="14"/>
      <c r="D31" s="14"/>
      <c r="Q31" s="35"/>
    </row>
    <row r="32" spans="1:19" s="7" customFormat="1" ht="12.95" customHeight="1" x14ac:dyDescent="0.2">
      <c r="C32" s="14"/>
      <c r="D32" s="14"/>
      <c r="Q32" s="35"/>
    </row>
    <row r="33" spans="3:17" s="7" customFormat="1" ht="12.95" customHeight="1" x14ac:dyDescent="0.2">
      <c r="C33" s="14"/>
      <c r="D33" s="14"/>
      <c r="Q33" s="35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2024-03-09T05:50:38Z</dcterms:modified>
</cp:coreProperties>
</file>