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C75CD4E-15AC-4469-8209-BB626A8F90A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Q24" i="1"/>
  <c r="E23" i="1"/>
  <c r="F23" i="1"/>
  <c r="G23" i="1"/>
  <c r="K23" i="1"/>
  <c r="D9" i="1"/>
  <c r="C9" i="1"/>
  <c r="C21" i="1"/>
  <c r="E21" i="1"/>
  <c r="F21" i="1"/>
  <c r="E22" i="1"/>
  <c r="F22" i="1"/>
  <c r="G22" i="1"/>
  <c r="K22" i="1"/>
  <c r="Q23" i="1"/>
  <c r="Q22" i="1"/>
  <c r="F16" i="1"/>
  <c r="F17" i="1" s="1"/>
  <c r="C17" i="1"/>
  <c r="Q21" i="1"/>
  <c r="G21" i="1"/>
  <c r="H21" i="1"/>
  <c r="C11" i="1"/>
  <c r="C12" i="1"/>
  <c r="C16" i="1" l="1"/>
  <c r="D18" i="1" s="1"/>
  <c r="O22" i="1"/>
  <c r="C15" i="1"/>
  <c r="F18" i="1" s="1"/>
  <c r="O23" i="1"/>
  <c r="O24" i="1"/>
  <c r="O21" i="1"/>
  <c r="C18" i="1" l="1"/>
  <c r="F19" i="1"/>
</calcChain>
</file>

<file path=xl/sharedStrings.xml><?xml version="1.0" encoding="utf-8"?>
<sst xmlns="http://schemas.openxmlformats.org/spreadsheetml/2006/main" count="55" uniqueCount="49">
  <si>
    <t>OEJV 0160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</si>
  <si>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</si>
  <si>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</si>
  <si>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</si>
  <si>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</si>
  <si>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</si>
  <si>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</si>
  <si>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</si>
  <si>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</si>
  <si>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</si>
  <si>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</si>
  <si>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</si>
  <si>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</si>
  <si>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</si>
  <si>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</si>
  <si>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</si>
  <si>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</si>
  <si>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</si>
  <si>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</si>
  <si>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</si>
  <si>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</si>
  <si>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</si>
  <si>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</si>
  <si>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</si>
  <si>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</si>
  <si>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</si>
  <si>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</si>
  <si>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</si>
  <si>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</si>
  <si>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</si>
  <si>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</si>
  <si>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</si>
  <si>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</si>
  <si>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</si>
  <si>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</si>
  <si>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</si>
  <si>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</si>
  <si>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</si>
  <si>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</si>
  <si>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</si>
  <si>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QS Vir / GSC 5559-0143</t>
  </si>
  <si>
    <t>EA+UV</t>
  </si>
  <si>
    <t>OEJV 0137</t>
  </si>
  <si>
    <t>I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</si>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</sst>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8" fillId="0" borderId="0"/>
    <xf numFmtId="0" fontId="6" fillId="0" borderId="0"/>
    <xf numFmtId="0" fontId="17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24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14" fillId="0" borderId="0" xfId="42" applyFont="1" applyAlignment="1">
      <alignment horizontal="left" vertical="center"/>
    </xf>
    <xf numFmtId="0" fontId="14" fillId="0" borderId="0" xfId="42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rmal_A_2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QS Vir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39-4094-8A42-23DD9443C1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39-4094-8A42-23DD9443C1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39-4094-8A42-23DD9443C1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-1.0139500009245239E-3</c:v>
                </c:pt>
                <c:pt idx="2">
                  <c:v>-1.3375750058912672E-3</c:v>
                </c:pt>
                <c:pt idx="3">
                  <c:v>-1.2927999996463768E-3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39-4094-8A42-23DD9443C1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39-4094-8A42-23DD9443C1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39-4094-8A42-23DD9443C1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2.0000000000000001E-4</c:v>
                  </c:pt>
                  <c:pt idx="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39-4094-8A42-23DD9443C1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-8.072350048342336E-5</c:v>
                </c:pt>
                <c:pt idx="1">
                  <c:v>-9.6844891647553956E-4</c:v>
                </c:pt>
                <c:pt idx="2">
                  <c:v>-1.5131025750998238E-3</c:v>
                </c:pt>
                <c:pt idx="3">
                  <c:v>-1.0820500144033812E-3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39-4094-8A42-23DD9443C1A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19958</c:v>
                </c:pt>
                <c:pt idx="2">
                  <c:v>32203</c:v>
                </c:pt>
                <c:pt idx="3">
                  <c:v>22512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39-4094-8A42-23DD9443C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404240"/>
        <c:axId val="1"/>
      </c:scatterChart>
      <c:valAx>
        <c:axId val="59540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404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F49666-BA5B-6883-50F4-C68E5A2BE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4" customFormat="1" ht="20.25" x14ac:dyDescent="0.2">
      <c r="A1" s="36" t="s">
        <v>40</v>
      </c>
    </row>
    <row r="2" spans="1:6" s="4" customFormat="1" ht="12.95" customHeight="1" x14ac:dyDescent="0.2">
      <c r="A2" s="4" t="s">
        <v>24</v>
      </c>
      <c r="C2" s="5" t="s">
        <v>41</v>
      </c>
      <c r="D2" s="6"/>
    </row>
    <row r="3" spans="1:6" s="4" customFormat="1" ht="12.95" customHeight="1" thickBot="1" x14ac:dyDescent="0.25"/>
    <row r="4" spans="1:6" s="4" customFormat="1" ht="12.95" customHeight="1" thickTop="1" thickBot="1" x14ac:dyDescent="0.25">
      <c r="A4" s="7" t="s">
        <v>1</v>
      </c>
      <c r="C4" s="8" t="s">
        <v>38</v>
      </c>
      <c r="D4" s="9" t="s">
        <v>38</v>
      </c>
    </row>
    <row r="5" spans="1:6" s="4" customFormat="1" ht="12.95" customHeight="1" thickTop="1" x14ac:dyDescent="0.2">
      <c r="A5" s="10" t="s">
        <v>29</v>
      </c>
      <c r="C5" s="11">
        <v>-9.5</v>
      </c>
      <c r="D5" s="4" t="s">
        <v>30</v>
      </c>
    </row>
    <row r="6" spans="1:6" s="4" customFormat="1" ht="12.95" customHeight="1" x14ac:dyDescent="0.2">
      <c r="A6" s="7" t="s">
        <v>2</v>
      </c>
    </row>
    <row r="7" spans="1:6" s="4" customFormat="1" ht="12.95" customHeight="1" x14ac:dyDescent="0.2">
      <c r="A7" s="4" t="s">
        <v>3</v>
      </c>
      <c r="C7" s="37">
        <v>52295.609600000003</v>
      </c>
      <c r="D7" s="13" t="s">
        <v>39</v>
      </c>
    </row>
    <row r="8" spans="1:6" s="4" customFormat="1" ht="12.95" customHeight="1" x14ac:dyDescent="0.2">
      <c r="A8" s="4" t="s">
        <v>4</v>
      </c>
      <c r="C8" s="37">
        <v>0.150757525</v>
      </c>
      <c r="D8" s="13" t="s">
        <v>39</v>
      </c>
    </row>
    <row r="9" spans="1:6" s="4" customFormat="1" ht="12.95" customHeight="1" x14ac:dyDescent="0.2">
      <c r="A9" s="14" t="s">
        <v>33</v>
      </c>
      <c r="B9" s="15">
        <v>21</v>
      </c>
      <c r="C9" s="16" t="str">
        <f>"F"&amp;B9</f>
        <v>F21</v>
      </c>
      <c r="D9" s="17" t="str">
        <f>"G"&amp;B9</f>
        <v>G21</v>
      </c>
    </row>
    <row r="10" spans="1:6" s="4" customFormat="1" ht="12.95" customHeight="1" thickBot="1" x14ac:dyDescent="0.25">
      <c r="C10" s="18" t="s">
        <v>20</v>
      </c>
      <c r="D10" s="18" t="s">
        <v>21</v>
      </c>
    </row>
    <row r="11" spans="1:6" s="4" customFormat="1" ht="12.95" customHeight="1" x14ac:dyDescent="0.2">
      <c r="A11" s="4" t="s">
        <v>16</v>
      </c>
      <c r="C11" s="17">
        <f ca="1">INTERCEPT(INDIRECT($D$9):G992,INDIRECT($C$9):F992)</f>
        <v>-8.072350048342336E-5</v>
      </c>
      <c r="D11" s="6"/>
    </row>
    <row r="12" spans="1:6" s="4" customFormat="1" ht="12.95" customHeight="1" x14ac:dyDescent="0.2">
      <c r="A12" s="4" t="s">
        <v>17</v>
      </c>
      <c r="C12" s="17">
        <f ca="1">SLOPE(INDIRECT($D$9):G992,INDIRECT($C$9):F992)</f>
        <v>-4.4479678123665508E-8</v>
      </c>
      <c r="D12" s="6"/>
    </row>
    <row r="13" spans="1:6" s="4" customFormat="1" ht="12.95" customHeight="1" x14ac:dyDescent="0.2">
      <c r="A13" s="4" t="s">
        <v>19</v>
      </c>
      <c r="C13" s="6" t="s">
        <v>14</v>
      </c>
    </row>
    <row r="14" spans="1:6" s="4" customFormat="1" ht="12.95" customHeight="1" x14ac:dyDescent="0.2"/>
    <row r="15" spans="1:6" s="4" customFormat="1" ht="12.95" customHeight="1" x14ac:dyDescent="0.2">
      <c r="A15" s="19" t="s">
        <v>18</v>
      </c>
      <c r="C15" s="20">
        <f ca="1">(C7+C11)+(C8+C12)*INT(MAX(F21:F3533))</f>
        <v>57150.452664472432</v>
      </c>
      <c r="E15" s="21" t="s">
        <v>35</v>
      </c>
      <c r="F15" s="11">
        <v>1</v>
      </c>
    </row>
    <row r="16" spans="1:6" s="4" customFormat="1" ht="12.95" customHeight="1" x14ac:dyDescent="0.2">
      <c r="A16" s="7" t="s">
        <v>5</v>
      </c>
      <c r="C16" s="22">
        <f ca="1">+C8+C12</f>
        <v>0.15075748052032187</v>
      </c>
      <c r="E16" s="21" t="s">
        <v>31</v>
      </c>
      <c r="F16" s="23">
        <f ca="1">NOW()+15018.5+$C$5/24</f>
        <v>60378.802163310182</v>
      </c>
    </row>
    <row r="17" spans="1:21" s="4" customFormat="1" ht="12.95" customHeight="1" thickBot="1" x14ac:dyDescent="0.25">
      <c r="A17" s="21" t="s">
        <v>28</v>
      </c>
      <c r="C17" s="4">
        <f>COUNT(C21:C2191)</f>
        <v>4</v>
      </c>
      <c r="E17" s="21" t="s">
        <v>36</v>
      </c>
      <c r="F17" s="23">
        <f ca="1">ROUND(2*(F16-$C$7)/$C$8,0)/2+F15</f>
        <v>53618</v>
      </c>
    </row>
    <row r="18" spans="1:21" s="4" customFormat="1" ht="12.95" customHeight="1" thickTop="1" thickBot="1" x14ac:dyDescent="0.25">
      <c r="A18" s="7" t="s">
        <v>6</v>
      </c>
      <c r="C18" s="24">
        <f ca="1">+C15</f>
        <v>57150.452664472432</v>
      </c>
      <c r="D18" s="25">
        <f ca="1">+C16</f>
        <v>0.15075748052032187</v>
      </c>
      <c r="E18" s="21" t="s">
        <v>37</v>
      </c>
      <c r="F18" s="17">
        <f ca="1">ROUND(2*(F16-$C$15)/$C$16,0)/2+F15</f>
        <v>21415</v>
      </c>
    </row>
    <row r="19" spans="1:21" s="4" customFormat="1" ht="12.95" customHeight="1" thickTop="1" x14ac:dyDescent="0.2">
      <c r="E19" s="21" t="s">
        <v>32</v>
      </c>
      <c r="F19" s="26">
        <f ca="1">+$C$15+$C$16*F18-15018.5-$C$5/24</f>
        <v>45360.819943148461</v>
      </c>
    </row>
    <row r="20" spans="1:21" s="4" customFormat="1" ht="12.95" customHeight="1" thickBot="1" x14ac:dyDescent="0.25">
      <c r="A20" s="18" t="s">
        <v>7</v>
      </c>
      <c r="B20" s="18" t="s">
        <v>8</v>
      </c>
      <c r="C20" s="18" t="s">
        <v>9</v>
      </c>
      <c r="D20" s="18" t="s">
        <v>13</v>
      </c>
      <c r="E20" s="18" t="s">
        <v>10</v>
      </c>
      <c r="F20" s="18" t="s">
        <v>11</v>
      </c>
      <c r="G20" s="18" t="s">
        <v>12</v>
      </c>
      <c r="H20" s="27" t="s">
        <v>45</v>
      </c>
      <c r="I20" s="27" t="s">
        <v>46</v>
      </c>
      <c r="J20" s="27" t="s">
        <v>47</v>
      </c>
      <c r="K20" s="27" t="s">
        <v>48</v>
      </c>
      <c r="L20" s="27" t="s">
        <v>25</v>
      </c>
      <c r="M20" s="27" t="s">
        <v>26</v>
      </c>
      <c r="N20" s="27" t="s">
        <v>27</v>
      </c>
      <c r="O20" s="27" t="s">
        <v>23</v>
      </c>
      <c r="P20" s="28" t="s">
        <v>22</v>
      </c>
      <c r="Q20" s="18" t="s">
        <v>15</v>
      </c>
      <c r="U20" s="29" t="s">
        <v>34</v>
      </c>
    </row>
    <row r="21" spans="1:21" s="4" customFormat="1" ht="12.95" customHeight="1" x14ac:dyDescent="0.2">
      <c r="A21" s="4" t="s">
        <v>39</v>
      </c>
      <c r="C21" s="12">
        <f>C7</f>
        <v>52295.609600000003</v>
      </c>
      <c r="D21" s="12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-8.072350048342336E-5</v>
      </c>
      <c r="Q21" s="30">
        <f>+C21-15018.5</f>
        <v>37277.109600000003</v>
      </c>
    </row>
    <row r="22" spans="1:21" s="4" customFormat="1" ht="12.95" customHeight="1" x14ac:dyDescent="0.2">
      <c r="A22" s="2" t="s">
        <v>42</v>
      </c>
      <c r="B22" s="3" t="s">
        <v>43</v>
      </c>
      <c r="C22" s="2">
        <v>55304.42727</v>
      </c>
      <c r="D22" s="2">
        <v>1.6000000000000001E-3</v>
      </c>
      <c r="E22" s="4">
        <f>+(C22-C$7)/C$8</f>
        <v>19957.993274299221</v>
      </c>
      <c r="F22" s="4">
        <f>ROUND(2*E22,0)/2</f>
        <v>19958</v>
      </c>
      <c r="G22" s="4">
        <f>+C22-(C$7+F22*C$8)</f>
        <v>-1.0139500009245239E-3</v>
      </c>
      <c r="K22" s="4">
        <f>+G22</f>
        <v>-1.0139500009245239E-3</v>
      </c>
      <c r="O22" s="4">
        <f ca="1">+C$11+C$12*$F22</f>
        <v>-9.6844891647553956E-4</v>
      </c>
      <c r="Q22" s="30">
        <f>+C22-15018.5</f>
        <v>40285.92727</v>
      </c>
    </row>
    <row r="23" spans="1:21" s="4" customFormat="1" ht="12.95" customHeight="1" x14ac:dyDescent="0.2">
      <c r="A23" s="31" t="s">
        <v>44</v>
      </c>
      <c r="B23" s="32" t="s">
        <v>43</v>
      </c>
      <c r="C23" s="33">
        <v>57150.452839999998</v>
      </c>
      <c r="D23" s="33">
        <v>2.0000000000000001E-4</v>
      </c>
      <c r="E23" s="4">
        <f>+(C23-C$7)/C$8</f>
        <v>32202.991127640194</v>
      </c>
      <c r="F23" s="4">
        <f>ROUND(2*E23,0)/2</f>
        <v>32203</v>
      </c>
      <c r="G23" s="4">
        <f>+C23-(C$7+F23*C$8)</f>
        <v>-1.3375750058912672E-3</v>
      </c>
      <c r="K23" s="4">
        <f>+G23</f>
        <v>-1.3375750058912672E-3</v>
      </c>
      <c r="O23" s="4">
        <f ca="1">+C$11+C$12*$F23</f>
        <v>-1.5131025750998238E-3</v>
      </c>
      <c r="Q23" s="30">
        <f>+C23-15018.5</f>
        <v>42131.952839999998</v>
      </c>
    </row>
    <row r="24" spans="1:21" s="4" customFormat="1" ht="12.95" customHeight="1" x14ac:dyDescent="0.2">
      <c r="A24" s="34" t="s">
        <v>0</v>
      </c>
      <c r="B24" s="35" t="s">
        <v>43</v>
      </c>
      <c r="C24" s="34">
        <v>55689.461710000003</v>
      </c>
      <c r="D24" s="34">
        <v>1.6000000000000001E-3</v>
      </c>
      <c r="E24" s="4">
        <f>+(C24-C$7)/C$8</f>
        <v>22511.991424640328</v>
      </c>
      <c r="F24" s="4">
        <f>ROUND(2*E24,0)/2</f>
        <v>22512</v>
      </c>
      <c r="G24" s="4">
        <f>+C24-(C$7+F24*C$8)</f>
        <v>-1.2927999996463768E-3</v>
      </c>
      <c r="K24" s="4">
        <f>+G24</f>
        <v>-1.2927999996463768E-3</v>
      </c>
      <c r="O24" s="4">
        <f ca="1">+C$11+C$12*$F24</f>
        <v>-1.0820500144033812E-3</v>
      </c>
      <c r="Q24" s="30">
        <f>+C24-15018.5</f>
        <v>40670.961710000003</v>
      </c>
    </row>
    <row r="25" spans="1:21" s="4" customFormat="1" ht="12.95" customHeight="1" x14ac:dyDescent="0.2">
      <c r="C25" s="12"/>
      <c r="D25" s="12"/>
      <c r="Q25" s="30"/>
    </row>
    <row r="26" spans="1:21" s="4" customFormat="1" ht="12.95" customHeight="1" x14ac:dyDescent="0.2">
      <c r="C26" s="12"/>
      <c r="D26" s="12"/>
      <c r="Q26" s="30"/>
    </row>
    <row r="27" spans="1:21" s="4" customFormat="1" ht="12.95" customHeight="1" x14ac:dyDescent="0.2">
      <c r="C27" s="12"/>
      <c r="D27" s="12"/>
      <c r="Q27" s="30"/>
    </row>
    <row r="28" spans="1:21" s="4" customFormat="1" ht="12.95" customHeight="1" x14ac:dyDescent="0.2">
      <c r="C28" s="12"/>
      <c r="D28" s="12"/>
      <c r="Q28" s="30"/>
    </row>
    <row r="29" spans="1:21" s="4" customFormat="1" ht="12.95" customHeight="1" x14ac:dyDescent="0.2">
      <c r="C29" s="12"/>
      <c r="D29" s="12"/>
      <c r="Q29" s="30"/>
    </row>
    <row r="30" spans="1:21" s="4" customFormat="1" ht="12.95" customHeight="1" x14ac:dyDescent="0.2">
      <c r="C30" s="12"/>
      <c r="D30" s="12"/>
      <c r="Q30" s="30"/>
    </row>
    <row r="31" spans="1:21" s="4" customFormat="1" ht="12.95" customHeight="1" x14ac:dyDescent="0.2">
      <c r="C31" s="12"/>
      <c r="D31" s="12"/>
      <c r="Q31" s="30"/>
    </row>
    <row r="32" spans="1:21" s="4" customFormat="1" ht="12.95" customHeight="1" x14ac:dyDescent="0.2">
      <c r="C32" s="12"/>
      <c r="D32" s="12"/>
      <c r="Q32" s="30"/>
    </row>
    <row r="33" spans="3:17" s="4" customFormat="1" ht="12.95" customHeight="1" x14ac:dyDescent="0.2">
      <c r="C33" s="12"/>
      <c r="D33" s="12"/>
      <c r="Q33" s="30"/>
    </row>
    <row r="34" spans="3:17" s="4" customFormat="1" ht="12.95" customHeight="1" x14ac:dyDescent="0.2">
      <c r="C34" s="12"/>
      <c r="D34" s="12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hyperlinks>
    <hyperlink ref="L5053" r:id="rId1" display="http://vsolj.cetus-net.org/bulletin.html"/>
    <hyperlink ref="L5046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2024-03-09T06:15:06Z</dcterms:modified>
</cp:coreProperties>
</file>